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team/no/fond/IK/Kundereks/Unifond/Ad hoc/2019/"/>
    </mc:Choice>
  </mc:AlternateContent>
  <bookViews>
    <workbookView xWindow="0" yWindow="0" windowWidth="23040" windowHeight="9720"/>
  </bookViews>
  <sheets>
    <sheet name="Storebrand Indeks Alle Markeder" sheetId="1" r:id="rId1"/>
  </sheets>
  <definedNames>
    <definedName name="__bookmark_1">'Storebrand Indeks Alle Markeder'!$A$1:$L$2104</definedName>
  </definedNames>
  <calcPr calcId="162913"/>
</workbook>
</file>

<file path=xl/calcChain.xml><?xml version="1.0" encoding="utf-8"?>
<calcChain xmlns="http://schemas.openxmlformats.org/spreadsheetml/2006/main">
  <c r="L2102" i="1" l="1"/>
  <c r="K2102" i="1"/>
  <c r="J2102" i="1"/>
  <c r="I2102" i="1"/>
  <c r="H2102" i="1"/>
  <c r="L2101" i="1"/>
  <c r="K2101" i="1"/>
  <c r="J2101" i="1"/>
  <c r="I2101" i="1"/>
  <c r="H2101" i="1"/>
  <c r="L2100" i="1"/>
  <c r="K2100" i="1"/>
  <c r="J2100" i="1"/>
  <c r="I2100" i="1"/>
  <c r="H2100" i="1"/>
  <c r="L2099" i="1"/>
  <c r="K2099" i="1"/>
  <c r="J2099" i="1"/>
  <c r="I2099" i="1"/>
  <c r="H2099" i="1"/>
  <c r="L2098" i="1"/>
  <c r="K2098" i="1"/>
  <c r="J2098" i="1"/>
  <c r="I2098" i="1"/>
  <c r="H2098" i="1"/>
  <c r="L2097" i="1"/>
  <c r="K2097" i="1"/>
  <c r="J2097" i="1"/>
  <c r="I2097" i="1"/>
  <c r="H2097" i="1"/>
  <c r="L2096" i="1"/>
  <c r="K2096" i="1"/>
  <c r="J2096" i="1"/>
  <c r="I2096" i="1"/>
  <c r="H2096" i="1"/>
  <c r="L2095" i="1"/>
  <c r="K2095" i="1"/>
  <c r="J2095" i="1"/>
  <c r="I2095" i="1"/>
  <c r="H2095" i="1"/>
  <c r="L2094" i="1"/>
  <c r="K2094" i="1"/>
  <c r="J2094" i="1"/>
  <c r="I2094" i="1"/>
  <c r="H2094" i="1"/>
  <c r="L2093" i="1"/>
  <c r="K2093" i="1"/>
  <c r="J2093" i="1"/>
  <c r="I2093" i="1"/>
  <c r="H2093" i="1"/>
  <c r="L2092" i="1"/>
  <c r="K2092" i="1"/>
  <c r="J2092" i="1"/>
  <c r="I2092" i="1"/>
  <c r="H2092" i="1"/>
  <c r="L2091" i="1"/>
  <c r="K2091" i="1"/>
  <c r="J2091" i="1"/>
  <c r="I2091" i="1"/>
  <c r="H2091" i="1"/>
  <c r="L2090" i="1"/>
  <c r="K2090" i="1"/>
  <c r="J2090" i="1"/>
  <c r="I2090" i="1"/>
  <c r="H2090" i="1"/>
  <c r="L2089" i="1"/>
  <c r="K2089" i="1"/>
  <c r="J2089" i="1"/>
  <c r="I2089" i="1"/>
  <c r="H2089" i="1"/>
  <c r="L2088" i="1"/>
  <c r="K2088" i="1"/>
  <c r="J2088" i="1"/>
  <c r="I2088" i="1"/>
  <c r="H2088" i="1"/>
  <c r="L2087" i="1"/>
  <c r="K2087" i="1"/>
  <c r="J2087" i="1"/>
  <c r="I2087" i="1"/>
  <c r="H2087" i="1"/>
  <c r="L2086" i="1"/>
  <c r="K2086" i="1"/>
  <c r="J2086" i="1"/>
  <c r="I2086" i="1"/>
  <c r="H2086" i="1"/>
  <c r="L2085" i="1"/>
  <c r="K2085" i="1"/>
  <c r="J2085" i="1"/>
  <c r="I2085" i="1"/>
  <c r="H2085" i="1"/>
  <c r="L2084" i="1"/>
  <c r="K2084" i="1"/>
  <c r="J2084" i="1"/>
  <c r="I2084" i="1"/>
  <c r="H2084" i="1"/>
  <c r="L2083" i="1"/>
  <c r="K2083" i="1"/>
  <c r="J2083" i="1"/>
  <c r="I2083" i="1"/>
  <c r="H2083" i="1"/>
  <c r="L2082" i="1"/>
  <c r="K2082" i="1"/>
  <c r="J2082" i="1"/>
  <c r="I2082" i="1"/>
  <c r="H2082" i="1"/>
  <c r="L2081" i="1"/>
  <c r="K2081" i="1"/>
  <c r="J2081" i="1"/>
  <c r="I2081" i="1"/>
  <c r="H2081" i="1"/>
  <c r="L2080" i="1"/>
  <c r="K2080" i="1"/>
  <c r="J2080" i="1"/>
  <c r="I2080" i="1"/>
  <c r="H2080" i="1"/>
  <c r="L2079" i="1"/>
  <c r="K2079" i="1"/>
  <c r="J2079" i="1"/>
  <c r="I2079" i="1"/>
  <c r="H2079" i="1"/>
  <c r="L2078" i="1"/>
  <c r="K2078" i="1"/>
  <c r="J2078" i="1"/>
  <c r="I2078" i="1"/>
  <c r="H2078" i="1"/>
  <c r="L2077" i="1"/>
  <c r="K2077" i="1"/>
  <c r="J2077" i="1"/>
  <c r="I2077" i="1"/>
  <c r="H2077" i="1"/>
  <c r="L2076" i="1"/>
  <c r="K2076" i="1"/>
  <c r="J2076" i="1"/>
  <c r="I2076" i="1"/>
  <c r="H2076" i="1"/>
  <c r="L2075" i="1"/>
  <c r="K2075" i="1"/>
  <c r="J2075" i="1"/>
  <c r="I2075" i="1"/>
  <c r="H2075" i="1"/>
  <c r="L2074" i="1"/>
  <c r="K2074" i="1"/>
  <c r="J2074" i="1"/>
  <c r="I2074" i="1"/>
  <c r="H2074" i="1"/>
  <c r="L2073" i="1"/>
  <c r="K2073" i="1"/>
  <c r="J2073" i="1"/>
  <c r="I2073" i="1"/>
  <c r="H2073" i="1"/>
  <c r="L2072" i="1"/>
  <c r="K2072" i="1"/>
  <c r="J2072" i="1"/>
  <c r="I2072" i="1"/>
  <c r="H2072" i="1"/>
  <c r="L2071" i="1"/>
  <c r="K2071" i="1"/>
  <c r="J2071" i="1"/>
  <c r="I2071" i="1"/>
  <c r="H2071" i="1"/>
  <c r="L2070" i="1"/>
  <c r="K2070" i="1"/>
  <c r="J2070" i="1"/>
  <c r="I2070" i="1"/>
  <c r="H2070" i="1"/>
  <c r="L2069" i="1"/>
  <c r="K2069" i="1"/>
  <c r="J2069" i="1"/>
  <c r="I2069" i="1"/>
  <c r="H2069" i="1"/>
  <c r="L2068" i="1"/>
  <c r="K2068" i="1"/>
  <c r="J2068" i="1"/>
  <c r="I2068" i="1"/>
  <c r="H2068" i="1"/>
  <c r="L2067" i="1"/>
  <c r="K2067" i="1"/>
  <c r="J2067" i="1"/>
  <c r="I2067" i="1"/>
  <c r="H2067" i="1"/>
  <c r="L2066" i="1"/>
  <c r="K2066" i="1"/>
  <c r="J2066" i="1"/>
  <c r="I2066" i="1"/>
  <c r="H2066" i="1"/>
  <c r="L2065" i="1"/>
  <c r="K2065" i="1"/>
  <c r="J2065" i="1"/>
  <c r="I2065" i="1"/>
  <c r="H2065" i="1"/>
  <c r="L2064" i="1"/>
  <c r="K2064" i="1"/>
  <c r="J2064" i="1"/>
  <c r="I2064" i="1"/>
  <c r="H2064" i="1"/>
  <c r="L2063" i="1"/>
  <c r="K2063" i="1"/>
  <c r="J2063" i="1"/>
  <c r="I2063" i="1"/>
  <c r="H2063" i="1"/>
  <c r="L2062" i="1"/>
  <c r="K2062" i="1"/>
  <c r="J2062" i="1"/>
  <c r="I2062" i="1"/>
  <c r="H2062" i="1"/>
  <c r="L2061" i="1"/>
  <c r="K2061" i="1"/>
  <c r="J2061" i="1"/>
  <c r="I2061" i="1"/>
  <c r="H2061" i="1"/>
  <c r="L2060" i="1"/>
  <c r="K2060" i="1"/>
  <c r="J2060" i="1"/>
  <c r="I2060" i="1"/>
  <c r="H2060" i="1"/>
  <c r="L2059" i="1"/>
  <c r="K2059" i="1"/>
  <c r="J2059" i="1"/>
  <c r="I2059" i="1"/>
  <c r="H2059" i="1"/>
  <c r="L2058" i="1"/>
  <c r="K2058" i="1"/>
  <c r="J2058" i="1"/>
  <c r="I2058" i="1"/>
  <c r="H2058" i="1"/>
  <c r="L2057" i="1"/>
  <c r="K2057" i="1"/>
  <c r="J2057" i="1"/>
  <c r="I2057" i="1"/>
  <c r="H2057" i="1"/>
  <c r="L2056" i="1"/>
  <c r="K2056" i="1"/>
  <c r="J2056" i="1"/>
  <c r="I2056" i="1"/>
  <c r="H2056" i="1"/>
  <c r="L2055" i="1"/>
  <c r="K2055" i="1"/>
  <c r="J2055" i="1"/>
  <c r="I2055" i="1"/>
  <c r="H2055" i="1"/>
  <c r="L2054" i="1"/>
  <c r="K2054" i="1"/>
  <c r="J2054" i="1"/>
  <c r="I2054" i="1"/>
  <c r="H2054" i="1"/>
  <c r="L2053" i="1"/>
  <c r="K2053" i="1"/>
  <c r="J2053" i="1"/>
  <c r="I2053" i="1"/>
  <c r="H2053" i="1"/>
  <c r="L2052" i="1"/>
  <c r="K2052" i="1"/>
  <c r="J2052" i="1"/>
  <c r="I2052" i="1"/>
  <c r="H2052" i="1"/>
  <c r="L2051" i="1"/>
  <c r="K2051" i="1"/>
  <c r="J2051" i="1"/>
  <c r="I2051" i="1"/>
  <c r="H2051" i="1"/>
  <c r="L2050" i="1"/>
  <c r="K2050" i="1"/>
  <c r="J2050" i="1"/>
  <c r="I2050" i="1"/>
  <c r="H2050" i="1"/>
  <c r="L2049" i="1"/>
  <c r="K2049" i="1"/>
  <c r="J2049" i="1"/>
  <c r="I2049" i="1"/>
  <c r="H2049" i="1"/>
  <c r="L2048" i="1"/>
  <c r="K2048" i="1"/>
  <c r="J2048" i="1"/>
  <c r="I2048" i="1"/>
  <c r="H2048" i="1"/>
  <c r="L2047" i="1"/>
  <c r="K2047" i="1"/>
  <c r="J2047" i="1"/>
  <c r="I2047" i="1"/>
  <c r="H2047" i="1"/>
  <c r="L2046" i="1"/>
  <c r="K2046" i="1"/>
  <c r="J2046" i="1"/>
  <c r="I2046" i="1"/>
  <c r="H2046" i="1"/>
  <c r="L2045" i="1"/>
  <c r="K2045" i="1"/>
  <c r="J2045" i="1"/>
  <c r="I2045" i="1"/>
  <c r="H2045" i="1"/>
  <c r="L2044" i="1"/>
  <c r="K2044" i="1"/>
  <c r="J2044" i="1"/>
  <c r="I2044" i="1"/>
  <c r="H2044" i="1"/>
  <c r="L2043" i="1"/>
  <c r="K2043" i="1"/>
  <c r="J2043" i="1"/>
  <c r="I2043" i="1"/>
  <c r="H2043" i="1"/>
  <c r="L2042" i="1"/>
  <c r="K2042" i="1"/>
  <c r="J2042" i="1"/>
  <c r="I2042" i="1"/>
  <c r="H2042" i="1"/>
  <c r="L2041" i="1"/>
  <c r="K2041" i="1"/>
  <c r="J2041" i="1"/>
  <c r="I2041" i="1"/>
  <c r="H2041" i="1"/>
  <c r="L2040" i="1"/>
  <c r="K2040" i="1"/>
  <c r="J2040" i="1"/>
  <c r="I2040" i="1"/>
  <c r="H2040" i="1"/>
  <c r="L2039" i="1"/>
  <c r="K2039" i="1"/>
  <c r="J2039" i="1"/>
  <c r="I2039" i="1"/>
  <c r="H2039" i="1"/>
  <c r="L2038" i="1"/>
  <c r="K2038" i="1"/>
  <c r="J2038" i="1"/>
  <c r="I2038" i="1"/>
  <c r="H2038" i="1"/>
  <c r="L2037" i="1"/>
  <c r="K2037" i="1"/>
  <c r="J2037" i="1"/>
  <c r="I2037" i="1"/>
  <c r="H2037" i="1"/>
  <c r="L2036" i="1"/>
  <c r="K2036" i="1"/>
  <c r="J2036" i="1"/>
  <c r="I2036" i="1"/>
  <c r="H2036" i="1"/>
  <c r="L2035" i="1"/>
  <c r="K2035" i="1"/>
  <c r="J2035" i="1"/>
  <c r="I2035" i="1"/>
  <c r="H2035" i="1"/>
  <c r="L2034" i="1"/>
  <c r="K2034" i="1"/>
  <c r="J2034" i="1"/>
  <c r="I2034" i="1"/>
  <c r="H2034" i="1"/>
  <c r="L2033" i="1"/>
  <c r="K2033" i="1"/>
  <c r="J2033" i="1"/>
  <c r="I2033" i="1"/>
  <c r="H2033" i="1"/>
  <c r="L2032" i="1"/>
  <c r="K2032" i="1"/>
  <c r="J2032" i="1"/>
  <c r="I2032" i="1"/>
  <c r="H2032" i="1"/>
  <c r="L2031" i="1"/>
  <c r="K2031" i="1"/>
  <c r="J2031" i="1"/>
  <c r="I2031" i="1"/>
  <c r="H2031" i="1"/>
  <c r="L2030" i="1"/>
  <c r="K2030" i="1"/>
  <c r="J2030" i="1"/>
  <c r="I2030" i="1"/>
  <c r="H2030" i="1"/>
  <c r="L2029" i="1"/>
  <c r="K2029" i="1"/>
  <c r="J2029" i="1"/>
  <c r="I2029" i="1"/>
  <c r="H2029" i="1"/>
  <c r="L2028" i="1"/>
  <c r="K2028" i="1"/>
  <c r="J2028" i="1"/>
  <c r="I2028" i="1"/>
  <c r="H2028" i="1"/>
  <c r="L2027" i="1"/>
  <c r="K2027" i="1"/>
  <c r="J2027" i="1"/>
  <c r="I2027" i="1"/>
  <c r="H2027" i="1"/>
  <c r="L2026" i="1"/>
  <c r="K2026" i="1"/>
  <c r="J2026" i="1"/>
  <c r="I2026" i="1"/>
  <c r="H2026" i="1"/>
  <c r="L2025" i="1"/>
  <c r="K2025" i="1"/>
  <c r="J2025" i="1"/>
  <c r="I2025" i="1"/>
  <c r="H2025" i="1"/>
  <c r="L2024" i="1"/>
  <c r="K2024" i="1"/>
  <c r="J2024" i="1"/>
  <c r="I2024" i="1"/>
  <c r="H2024" i="1"/>
  <c r="L2023" i="1"/>
  <c r="K2023" i="1"/>
  <c r="J2023" i="1"/>
  <c r="I2023" i="1"/>
  <c r="H2023" i="1"/>
  <c r="L2022" i="1"/>
  <c r="K2022" i="1"/>
  <c r="J2022" i="1"/>
  <c r="I2022" i="1"/>
  <c r="H2022" i="1"/>
  <c r="L2021" i="1"/>
  <c r="K2021" i="1"/>
  <c r="J2021" i="1"/>
  <c r="I2021" i="1"/>
  <c r="H2021" i="1"/>
  <c r="L2020" i="1"/>
  <c r="K2020" i="1"/>
  <c r="J2020" i="1"/>
  <c r="I2020" i="1"/>
  <c r="H2020" i="1"/>
  <c r="L2019" i="1"/>
  <c r="K2019" i="1"/>
  <c r="J2019" i="1"/>
  <c r="I2019" i="1"/>
  <c r="H2019" i="1"/>
  <c r="L2018" i="1"/>
  <c r="K2018" i="1"/>
  <c r="J2018" i="1"/>
  <c r="I2018" i="1"/>
  <c r="H2018" i="1"/>
  <c r="L2017" i="1"/>
  <c r="K2017" i="1"/>
  <c r="J2017" i="1"/>
  <c r="I2017" i="1"/>
  <c r="H2017" i="1"/>
  <c r="L2016" i="1"/>
  <c r="K2016" i="1"/>
  <c r="J2016" i="1"/>
  <c r="I2016" i="1"/>
  <c r="H2016" i="1"/>
  <c r="L2015" i="1"/>
  <c r="K2015" i="1"/>
  <c r="J2015" i="1"/>
  <c r="I2015" i="1"/>
  <c r="H2015" i="1"/>
  <c r="L2014" i="1"/>
  <c r="K2014" i="1"/>
  <c r="J2014" i="1"/>
  <c r="I2014" i="1"/>
  <c r="H2014" i="1"/>
  <c r="L2013" i="1"/>
  <c r="K2013" i="1"/>
  <c r="J2013" i="1"/>
  <c r="I2013" i="1"/>
  <c r="H2013" i="1"/>
  <c r="L2012" i="1"/>
  <c r="K2012" i="1"/>
  <c r="J2012" i="1"/>
  <c r="I2012" i="1"/>
  <c r="H2012" i="1"/>
  <c r="L2011" i="1"/>
  <c r="K2011" i="1"/>
  <c r="J2011" i="1"/>
  <c r="I2011" i="1"/>
  <c r="H2011" i="1"/>
  <c r="L2010" i="1"/>
  <c r="K2010" i="1"/>
  <c r="J2010" i="1"/>
  <c r="I2010" i="1"/>
  <c r="H2010" i="1"/>
  <c r="L2009" i="1"/>
  <c r="K2009" i="1"/>
  <c r="J2009" i="1"/>
  <c r="I2009" i="1"/>
  <c r="H2009" i="1"/>
  <c r="L2008" i="1"/>
  <c r="K2008" i="1"/>
  <c r="J2008" i="1"/>
  <c r="I2008" i="1"/>
  <c r="H2008" i="1"/>
  <c r="L2007" i="1"/>
  <c r="K2007" i="1"/>
  <c r="J2007" i="1"/>
  <c r="I2007" i="1"/>
  <c r="H2007" i="1"/>
  <c r="L2006" i="1"/>
  <c r="K2006" i="1"/>
  <c r="J2006" i="1"/>
  <c r="I2006" i="1"/>
  <c r="H2006" i="1"/>
  <c r="L2005" i="1"/>
  <c r="K2005" i="1"/>
  <c r="J2005" i="1"/>
  <c r="I2005" i="1"/>
  <c r="H2005" i="1"/>
  <c r="L2004" i="1"/>
  <c r="K2004" i="1"/>
  <c r="J2004" i="1"/>
  <c r="I2004" i="1"/>
  <c r="H2004" i="1"/>
  <c r="L2003" i="1"/>
  <c r="K2003" i="1"/>
  <c r="J2003" i="1"/>
  <c r="I2003" i="1"/>
  <c r="H2003" i="1"/>
  <c r="L2002" i="1"/>
  <c r="K2002" i="1"/>
  <c r="J2002" i="1"/>
  <c r="I2002" i="1"/>
  <c r="H2002" i="1"/>
  <c r="L2001" i="1"/>
  <c r="K2001" i="1"/>
  <c r="J2001" i="1"/>
  <c r="I2001" i="1"/>
  <c r="H2001" i="1"/>
  <c r="L2000" i="1"/>
  <c r="K2000" i="1"/>
  <c r="J2000" i="1"/>
  <c r="I2000" i="1"/>
  <c r="H2000" i="1"/>
  <c r="L1999" i="1"/>
  <c r="K1999" i="1"/>
  <c r="J1999" i="1"/>
  <c r="I1999" i="1"/>
  <c r="H1999" i="1"/>
  <c r="L1998" i="1"/>
  <c r="K1998" i="1"/>
  <c r="J1998" i="1"/>
  <c r="I1998" i="1"/>
  <c r="H1998" i="1"/>
  <c r="L1997" i="1"/>
  <c r="K1997" i="1"/>
  <c r="J1997" i="1"/>
  <c r="I1997" i="1"/>
  <c r="H1997" i="1"/>
  <c r="L1996" i="1"/>
  <c r="K1996" i="1"/>
  <c r="J1996" i="1"/>
  <c r="I1996" i="1"/>
  <c r="H1996" i="1"/>
  <c r="L1995" i="1"/>
  <c r="K1995" i="1"/>
  <c r="J1995" i="1"/>
  <c r="I1995" i="1"/>
  <c r="H1995" i="1"/>
  <c r="L1994" i="1"/>
  <c r="K1994" i="1"/>
  <c r="J1994" i="1"/>
  <c r="I1994" i="1"/>
  <c r="H1994" i="1"/>
  <c r="L1993" i="1"/>
  <c r="K1993" i="1"/>
  <c r="J1993" i="1"/>
  <c r="I1993" i="1"/>
  <c r="H1993" i="1"/>
  <c r="L1992" i="1"/>
  <c r="K1992" i="1"/>
  <c r="J1992" i="1"/>
  <c r="I1992" i="1"/>
  <c r="H1992" i="1"/>
  <c r="L1991" i="1"/>
  <c r="K1991" i="1"/>
  <c r="J1991" i="1"/>
  <c r="I1991" i="1"/>
  <c r="H1991" i="1"/>
  <c r="L1990" i="1"/>
  <c r="K1990" i="1"/>
  <c r="J1990" i="1"/>
  <c r="I1990" i="1"/>
  <c r="H1990" i="1"/>
  <c r="L1989" i="1"/>
  <c r="K1989" i="1"/>
  <c r="J1989" i="1"/>
  <c r="I1989" i="1"/>
  <c r="H1989" i="1"/>
  <c r="L1988" i="1"/>
  <c r="K1988" i="1"/>
  <c r="J1988" i="1"/>
  <c r="I1988" i="1"/>
  <c r="H1988" i="1"/>
  <c r="L1987" i="1"/>
  <c r="K1987" i="1"/>
  <c r="J1987" i="1"/>
  <c r="I1987" i="1"/>
  <c r="H1987" i="1"/>
  <c r="L1986" i="1"/>
  <c r="K1986" i="1"/>
  <c r="J1986" i="1"/>
  <c r="I1986" i="1"/>
  <c r="H1986" i="1"/>
  <c r="L1985" i="1"/>
  <c r="K1985" i="1"/>
  <c r="J1985" i="1"/>
  <c r="I1985" i="1"/>
  <c r="H1985" i="1"/>
  <c r="L1984" i="1"/>
  <c r="K1984" i="1"/>
  <c r="J1984" i="1"/>
  <c r="I1984" i="1"/>
  <c r="H1984" i="1"/>
  <c r="L1983" i="1"/>
  <c r="K1983" i="1"/>
  <c r="J1983" i="1"/>
  <c r="I1983" i="1"/>
  <c r="H1983" i="1"/>
  <c r="L1982" i="1"/>
  <c r="K1982" i="1"/>
  <c r="J1982" i="1"/>
  <c r="I1982" i="1"/>
  <c r="H1982" i="1"/>
  <c r="L1981" i="1"/>
  <c r="K1981" i="1"/>
  <c r="J1981" i="1"/>
  <c r="I1981" i="1"/>
  <c r="H1981" i="1"/>
  <c r="L1980" i="1"/>
  <c r="K1980" i="1"/>
  <c r="J1980" i="1"/>
  <c r="I1980" i="1"/>
  <c r="H1980" i="1"/>
  <c r="L1979" i="1"/>
  <c r="K1979" i="1"/>
  <c r="J1979" i="1"/>
  <c r="I1979" i="1"/>
  <c r="H1979" i="1"/>
  <c r="L1978" i="1"/>
  <c r="K1978" i="1"/>
  <c r="J1978" i="1"/>
  <c r="I1978" i="1"/>
  <c r="H1978" i="1"/>
  <c r="L1977" i="1"/>
  <c r="K1977" i="1"/>
  <c r="J1977" i="1"/>
  <c r="I1977" i="1"/>
  <c r="H1977" i="1"/>
  <c r="L1976" i="1"/>
  <c r="K1976" i="1"/>
  <c r="J1976" i="1"/>
  <c r="I1976" i="1"/>
  <c r="H1976" i="1"/>
  <c r="L1975" i="1"/>
  <c r="K1975" i="1"/>
  <c r="J1975" i="1"/>
  <c r="I1975" i="1"/>
  <c r="H1975" i="1"/>
  <c r="L1974" i="1"/>
  <c r="K1974" i="1"/>
  <c r="J1974" i="1"/>
  <c r="I1974" i="1"/>
  <c r="H1974" i="1"/>
  <c r="L1973" i="1"/>
  <c r="K1973" i="1"/>
  <c r="J1973" i="1"/>
  <c r="I1973" i="1"/>
  <c r="H1973" i="1"/>
  <c r="L1972" i="1"/>
  <c r="K1972" i="1"/>
  <c r="J1972" i="1"/>
  <c r="I1972" i="1"/>
  <c r="H1972" i="1"/>
  <c r="L1971" i="1"/>
  <c r="K1971" i="1"/>
  <c r="J1971" i="1"/>
  <c r="I1971" i="1"/>
  <c r="H1971" i="1"/>
  <c r="L1970" i="1"/>
  <c r="K1970" i="1"/>
  <c r="J1970" i="1"/>
  <c r="I1970" i="1"/>
  <c r="H1970" i="1"/>
  <c r="L1969" i="1"/>
  <c r="K1969" i="1"/>
  <c r="J1969" i="1"/>
  <c r="I1969" i="1"/>
  <c r="H1969" i="1"/>
  <c r="L1968" i="1"/>
  <c r="K1968" i="1"/>
  <c r="J1968" i="1"/>
  <c r="I1968" i="1"/>
  <c r="H1968" i="1"/>
  <c r="L1967" i="1"/>
  <c r="K1967" i="1"/>
  <c r="J1967" i="1"/>
  <c r="I1967" i="1"/>
  <c r="H1967" i="1"/>
  <c r="L1966" i="1"/>
  <c r="K1966" i="1"/>
  <c r="J1966" i="1"/>
  <c r="I1966" i="1"/>
  <c r="H1966" i="1"/>
  <c r="L1965" i="1"/>
  <c r="K1965" i="1"/>
  <c r="J1965" i="1"/>
  <c r="I1965" i="1"/>
  <c r="H1965" i="1"/>
  <c r="L1964" i="1"/>
  <c r="K1964" i="1"/>
  <c r="J1964" i="1"/>
  <c r="I1964" i="1"/>
  <c r="H1964" i="1"/>
  <c r="L1963" i="1"/>
  <c r="K1963" i="1"/>
  <c r="J1963" i="1"/>
  <c r="I1963" i="1"/>
  <c r="H1963" i="1"/>
  <c r="L1962" i="1"/>
  <c r="K1962" i="1"/>
  <c r="J1962" i="1"/>
  <c r="I1962" i="1"/>
  <c r="H1962" i="1"/>
  <c r="L1961" i="1"/>
  <c r="K1961" i="1"/>
  <c r="J1961" i="1"/>
  <c r="I1961" i="1"/>
  <c r="H1961" i="1"/>
  <c r="L1960" i="1"/>
  <c r="K1960" i="1"/>
  <c r="J1960" i="1"/>
  <c r="I1960" i="1"/>
  <c r="H1960" i="1"/>
  <c r="L1959" i="1"/>
  <c r="K1959" i="1"/>
  <c r="J1959" i="1"/>
  <c r="I1959" i="1"/>
  <c r="H1959" i="1"/>
  <c r="L1958" i="1"/>
  <c r="K1958" i="1"/>
  <c r="J1958" i="1"/>
  <c r="I1958" i="1"/>
  <c r="H1958" i="1"/>
  <c r="L1957" i="1"/>
  <c r="K1957" i="1"/>
  <c r="J1957" i="1"/>
  <c r="I1957" i="1"/>
  <c r="H1957" i="1"/>
  <c r="L1956" i="1"/>
  <c r="K1956" i="1"/>
  <c r="J1956" i="1"/>
  <c r="I1956" i="1"/>
  <c r="H1956" i="1"/>
  <c r="L1955" i="1"/>
  <c r="K1955" i="1"/>
  <c r="J1955" i="1"/>
  <c r="I1955" i="1"/>
  <c r="H1955" i="1"/>
  <c r="L1954" i="1"/>
  <c r="K1954" i="1"/>
  <c r="J1954" i="1"/>
  <c r="I1954" i="1"/>
  <c r="H1954" i="1"/>
  <c r="L1953" i="1"/>
  <c r="K1953" i="1"/>
  <c r="J1953" i="1"/>
  <c r="I1953" i="1"/>
  <c r="H1953" i="1"/>
  <c r="L1952" i="1"/>
  <c r="K1952" i="1"/>
  <c r="J1952" i="1"/>
  <c r="I1952" i="1"/>
  <c r="H1952" i="1"/>
  <c r="L1951" i="1"/>
  <c r="K1951" i="1"/>
  <c r="J1951" i="1"/>
  <c r="I1951" i="1"/>
  <c r="H1951" i="1"/>
  <c r="L1950" i="1"/>
  <c r="K1950" i="1"/>
  <c r="J1950" i="1"/>
  <c r="I1950" i="1"/>
  <c r="H1950" i="1"/>
  <c r="L1949" i="1"/>
  <c r="K1949" i="1"/>
  <c r="J1949" i="1"/>
  <c r="I1949" i="1"/>
  <c r="H1949" i="1"/>
  <c r="L1948" i="1"/>
  <c r="K1948" i="1"/>
  <c r="J1948" i="1"/>
  <c r="I1948" i="1"/>
  <c r="H1948" i="1"/>
  <c r="L1947" i="1"/>
  <c r="K1947" i="1"/>
  <c r="J1947" i="1"/>
  <c r="I1947" i="1"/>
  <c r="H1947" i="1"/>
  <c r="L1946" i="1"/>
  <c r="K1946" i="1"/>
  <c r="J1946" i="1"/>
  <c r="I1946" i="1"/>
  <c r="H1946" i="1"/>
  <c r="L1945" i="1"/>
  <c r="K1945" i="1"/>
  <c r="J1945" i="1"/>
  <c r="I1945" i="1"/>
  <c r="H1945" i="1"/>
  <c r="L1944" i="1"/>
  <c r="K1944" i="1"/>
  <c r="J1944" i="1"/>
  <c r="I1944" i="1"/>
  <c r="H1944" i="1"/>
  <c r="L1943" i="1"/>
  <c r="K1943" i="1"/>
  <c r="J1943" i="1"/>
  <c r="I1943" i="1"/>
  <c r="H1943" i="1"/>
  <c r="L1942" i="1"/>
  <c r="K1942" i="1"/>
  <c r="J1942" i="1"/>
  <c r="I1942" i="1"/>
  <c r="H1942" i="1"/>
  <c r="L1941" i="1"/>
  <c r="K1941" i="1"/>
  <c r="J1941" i="1"/>
  <c r="I1941" i="1"/>
  <c r="H1941" i="1"/>
  <c r="L1940" i="1"/>
  <c r="K1940" i="1"/>
  <c r="J1940" i="1"/>
  <c r="I1940" i="1"/>
  <c r="H1940" i="1"/>
  <c r="L1939" i="1"/>
  <c r="K1939" i="1"/>
  <c r="J1939" i="1"/>
  <c r="I1939" i="1"/>
  <c r="H1939" i="1"/>
  <c r="L1938" i="1"/>
  <c r="K1938" i="1"/>
  <c r="J1938" i="1"/>
  <c r="I1938" i="1"/>
  <c r="H1938" i="1"/>
  <c r="L1937" i="1"/>
  <c r="K1937" i="1"/>
  <c r="J1937" i="1"/>
  <c r="I1937" i="1"/>
  <c r="H1937" i="1"/>
  <c r="L1936" i="1"/>
  <c r="K1936" i="1"/>
  <c r="J1936" i="1"/>
  <c r="I1936" i="1"/>
  <c r="H1936" i="1"/>
  <c r="L1935" i="1"/>
  <c r="K1935" i="1"/>
  <c r="J1935" i="1"/>
  <c r="I1935" i="1"/>
  <c r="H1935" i="1"/>
  <c r="L1934" i="1"/>
  <c r="K1934" i="1"/>
  <c r="J1934" i="1"/>
  <c r="I1934" i="1"/>
  <c r="H1934" i="1"/>
  <c r="L1933" i="1"/>
  <c r="K1933" i="1"/>
  <c r="J1933" i="1"/>
  <c r="I1933" i="1"/>
  <c r="H1933" i="1"/>
  <c r="L1932" i="1"/>
  <c r="K1932" i="1"/>
  <c r="J1932" i="1"/>
  <c r="I1932" i="1"/>
  <c r="H1932" i="1"/>
  <c r="L1931" i="1"/>
  <c r="K1931" i="1"/>
  <c r="J1931" i="1"/>
  <c r="I1931" i="1"/>
  <c r="H1931" i="1"/>
  <c r="L1930" i="1"/>
  <c r="K1930" i="1"/>
  <c r="J1930" i="1"/>
  <c r="I1930" i="1"/>
  <c r="H1930" i="1"/>
  <c r="L1929" i="1"/>
  <c r="K1929" i="1"/>
  <c r="J1929" i="1"/>
  <c r="I1929" i="1"/>
  <c r="H1929" i="1"/>
  <c r="L1928" i="1"/>
  <c r="K1928" i="1"/>
  <c r="J1928" i="1"/>
  <c r="I1928" i="1"/>
  <c r="H1928" i="1"/>
  <c r="L1927" i="1"/>
  <c r="K1927" i="1"/>
  <c r="J1927" i="1"/>
  <c r="I1927" i="1"/>
  <c r="H1927" i="1"/>
  <c r="L1926" i="1"/>
  <c r="K1926" i="1"/>
  <c r="J1926" i="1"/>
  <c r="I1926" i="1"/>
  <c r="H1926" i="1"/>
  <c r="L1925" i="1"/>
  <c r="K1925" i="1"/>
  <c r="J1925" i="1"/>
  <c r="I1925" i="1"/>
  <c r="H1925" i="1"/>
  <c r="L1924" i="1"/>
  <c r="K1924" i="1"/>
  <c r="J1924" i="1"/>
  <c r="I1924" i="1"/>
  <c r="H1924" i="1"/>
  <c r="L1923" i="1"/>
  <c r="K1923" i="1"/>
  <c r="J1923" i="1"/>
  <c r="I1923" i="1"/>
  <c r="H1923" i="1"/>
  <c r="L1922" i="1"/>
  <c r="K1922" i="1"/>
  <c r="J1922" i="1"/>
  <c r="I1922" i="1"/>
  <c r="H1922" i="1"/>
  <c r="L1921" i="1"/>
  <c r="K1921" i="1"/>
  <c r="J1921" i="1"/>
  <c r="I1921" i="1"/>
  <c r="H1921" i="1"/>
  <c r="L1920" i="1"/>
  <c r="K1920" i="1"/>
  <c r="J1920" i="1"/>
  <c r="I1920" i="1"/>
  <c r="H1920" i="1"/>
  <c r="L1919" i="1"/>
  <c r="K1919" i="1"/>
  <c r="J1919" i="1"/>
  <c r="I1919" i="1"/>
  <c r="H1919" i="1"/>
  <c r="L1918" i="1"/>
  <c r="K1918" i="1"/>
  <c r="J1918" i="1"/>
  <c r="I1918" i="1"/>
  <c r="H1918" i="1"/>
  <c r="L1917" i="1"/>
  <c r="K1917" i="1"/>
  <c r="J1917" i="1"/>
  <c r="I1917" i="1"/>
  <c r="H1917" i="1"/>
  <c r="L1916" i="1"/>
  <c r="K1916" i="1"/>
  <c r="J1916" i="1"/>
  <c r="I1916" i="1"/>
  <c r="H1916" i="1"/>
  <c r="L1915" i="1"/>
  <c r="K1915" i="1"/>
  <c r="J1915" i="1"/>
  <c r="I1915" i="1"/>
  <c r="H1915" i="1"/>
  <c r="L1914" i="1"/>
  <c r="K1914" i="1"/>
  <c r="J1914" i="1"/>
  <c r="I1914" i="1"/>
  <c r="H1914" i="1"/>
  <c r="L1913" i="1"/>
  <c r="K1913" i="1"/>
  <c r="J1913" i="1"/>
  <c r="I1913" i="1"/>
  <c r="H1913" i="1"/>
  <c r="L1912" i="1"/>
  <c r="K1912" i="1"/>
  <c r="J1912" i="1"/>
  <c r="I1912" i="1"/>
  <c r="H1912" i="1"/>
  <c r="L1911" i="1"/>
  <c r="K1911" i="1"/>
  <c r="J1911" i="1"/>
  <c r="I1911" i="1"/>
  <c r="H1911" i="1"/>
  <c r="L1910" i="1"/>
  <c r="K1910" i="1"/>
  <c r="J1910" i="1"/>
  <c r="I1910" i="1"/>
  <c r="H1910" i="1"/>
  <c r="L1909" i="1"/>
  <c r="K1909" i="1"/>
  <c r="J1909" i="1"/>
  <c r="I1909" i="1"/>
  <c r="H1909" i="1"/>
  <c r="L1908" i="1"/>
  <c r="K1908" i="1"/>
  <c r="J1908" i="1"/>
  <c r="I1908" i="1"/>
  <c r="H1908" i="1"/>
  <c r="L1907" i="1"/>
  <c r="K1907" i="1"/>
  <c r="J1907" i="1"/>
  <c r="I1907" i="1"/>
  <c r="H1907" i="1"/>
  <c r="L1906" i="1"/>
  <c r="K1906" i="1"/>
  <c r="J1906" i="1"/>
  <c r="I1906" i="1"/>
  <c r="H1906" i="1"/>
  <c r="L1905" i="1"/>
  <c r="K1905" i="1"/>
  <c r="J1905" i="1"/>
  <c r="I1905" i="1"/>
  <c r="H1905" i="1"/>
  <c r="L1904" i="1"/>
  <c r="K1904" i="1"/>
  <c r="J1904" i="1"/>
  <c r="I1904" i="1"/>
  <c r="H1904" i="1"/>
  <c r="L1903" i="1"/>
  <c r="K1903" i="1"/>
  <c r="J1903" i="1"/>
  <c r="I1903" i="1"/>
  <c r="H1903" i="1"/>
  <c r="L1902" i="1"/>
  <c r="K1902" i="1"/>
  <c r="J1902" i="1"/>
  <c r="I1902" i="1"/>
  <c r="H1902" i="1"/>
  <c r="L1901" i="1"/>
  <c r="K1901" i="1"/>
  <c r="J1901" i="1"/>
  <c r="I1901" i="1"/>
  <c r="H1901" i="1"/>
  <c r="L1900" i="1"/>
  <c r="K1900" i="1"/>
  <c r="J1900" i="1"/>
  <c r="I1900" i="1"/>
  <c r="H1900" i="1"/>
  <c r="L1899" i="1"/>
  <c r="K1899" i="1"/>
  <c r="J1899" i="1"/>
  <c r="I1899" i="1"/>
  <c r="H1899" i="1"/>
  <c r="L1898" i="1"/>
  <c r="K1898" i="1"/>
  <c r="J1898" i="1"/>
  <c r="I1898" i="1"/>
  <c r="H1898" i="1"/>
  <c r="L1897" i="1"/>
  <c r="K1897" i="1"/>
  <c r="J1897" i="1"/>
  <c r="I1897" i="1"/>
  <c r="H1897" i="1"/>
  <c r="L1896" i="1"/>
  <c r="K1896" i="1"/>
  <c r="J1896" i="1"/>
  <c r="I1896" i="1"/>
  <c r="H1896" i="1"/>
  <c r="L1895" i="1"/>
  <c r="K1895" i="1"/>
  <c r="J1895" i="1"/>
  <c r="I1895" i="1"/>
  <c r="H1895" i="1"/>
  <c r="L1894" i="1"/>
  <c r="K1894" i="1"/>
  <c r="J1894" i="1"/>
  <c r="I1894" i="1"/>
  <c r="H1894" i="1"/>
  <c r="L1893" i="1"/>
  <c r="K1893" i="1"/>
  <c r="J1893" i="1"/>
  <c r="I1893" i="1"/>
  <c r="H1893" i="1"/>
  <c r="L1892" i="1"/>
  <c r="K1892" i="1"/>
  <c r="J1892" i="1"/>
  <c r="I1892" i="1"/>
  <c r="H1892" i="1"/>
  <c r="L1891" i="1"/>
  <c r="K1891" i="1"/>
  <c r="J1891" i="1"/>
  <c r="I1891" i="1"/>
  <c r="H1891" i="1"/>
  <c r="L1890" i="1"/>
  <c r="K1890" i="1"/>
  <c r="J1890" i="1"/>
  <c r="I1890" i="1"/>
  <c r="H1890" i="1"/>
  <c r="L1889" i="1"/>
  <c r="K1889" i="1"/>
  <c r="J1889" i="1"/>
  <c r="I1889" i="1"/>
  <c r="H1889" i="1"/>
  <c r="L1888" i="1"/>
  <c r="K1888" i="1"/>
  <c r="J1888" i="1"/>
  <c r="I1888" i="1"/>
  <c r="H1888" i="1"/>
  <c r="L1887" i="1"/>
  <c r="K1887" i="1"/>
  <c r="J1887" i="1"/>
  <c r="I1887" i="1"/>
  <c r="H1887" i="1"/>
  <c r="L1886" i="1"/>
  <c r="K1886" i="1"/>
  <c r="J1886" i="1"/>
  <c r="I1886" i="1"/>
  <c r="H1886" i="1"/>
  <c r="L1885" i="1"/>
  <c r="K1885" i="1"/>
  <c r="J1885" i="1"/>
  <c r="I1885" i="1"/>
  <c r="H1885" i="1"/>
  <c r="L1884" i="1"/>
  <c r="K1884" i="1"/>
  <c r="J1884" i="1"/>
  <c r="I1884" i="1"/>
  <c r="H1884" i="1"/>
  <c r="L1883" i="1"/>
  <c r="K1883" i="1"/>
  <c r="J1883" i="1"/>
  <c r="I1883" i="1"/>
  <c r="H1883" i="1"/>
  <c r="L1882" i="1"/>
  <c r="K1882" i="1"/>
  <c r="J1882" i="1"/>
  <c r="I1882" i="1"/>
  <c r="H1882" i="1"/>
  <c r="L1881" i="1"/>
  <c r="K1881" i="1"/>
  <c r="J1881" i="1"/>
  <c r="I1881" i="1"/>
  <c r="H1881" i="1"/>
  <c r="L1880" i="1"/>
  <c r="K1880" i="1"/>
  <c r="J1880" i="1"/>
  <c r="I1880" i="1"/>
  <c r="H1880" i="1"/>
  <c r="L1879" i="1"/>
  <c r="K1879" i="1"/>
  <c r="J1879" i="1"/>
  <c r="I1879" i="1"/>
  <c r="H1879" i="1"/>
  <c r="L1878" i="1"/>
  <c r="K1878" i="1"/>
  <c r="J1878" i="1"/>
  <c r="I1878" i="1"/>
  <c r="H1878" i="1"/>
  <c r="L1877" i="1"/>
  <c r="K1877" i="1"/>
  <c r="J1877" i="1"/>
  <c r="I1877" i="1"/>
  <c r="H1877" i="1"/>
  <c r="L1876" i="1"/>
  <c r="K1876" i="1"/>
  <c r="J1876" i="1"/>
  <c r="I1876" i="1"/>
  <c r="H1876" i="1"/>
  <c r="L1875" i="1"/>
  <c r="K1875" i="1"/>
  <c r="J1875" i="1"/>
  <c r="I1875" i="1"/>
  <c r="H1875" i="1"/>
  <c r="L1874" i="1"/>
  <c r="K1874" i="1"/>
  <c r="J1874" i="1"/>
  <c r="I1874" i="1"/>
  <c r="H1874" i="1"/>
  <c r="L1873" i="1"/>
  <c r="K1873" i="1"/>
  <c r="J1873" i="1"/>
  <c r="I1873" i="1"/>
  <c r="H1873" i="1"/>
  <c r="L1872" i="1"/>
  <c r="K1872" i="1"/>
  <c r="J1872" i="1"/>
  <c r="I1872" i="1"/>
  <c r="H1872" i="1"/>
  <c r="L1871" i="1"/>
  <c r="K1871" i="1"/>
  <c r="J1871" i="1"/>
  <c r="I1871" i="1"/>
  <c r="H1871" i="1"/>
  <c r="L1870" i="1"/>
  <c r="K1870" i="1"/>
  <c r="J1870" i="1"/>
  <c r="I1870" i="1"/>
  <c r="H1870" i="1"/>
  <c r="L1869" i="1"/>
  <c r="K1869" i="1"/>
  <c r="J1869" i="1"/>
  <c r="I1869" i="1"/>
  <c r="H1869" i="1"/>
  <c r="L1868" i="1"/>
  <c r="K1868" i="1"/>
  <c r="J1868" i="1"/>
  <c r="I1868" i="1"/>
  <c r="H1868" i="1"/>
  <c r="L1867" i="1"/>
  <c r="K1867" i="1"/>
  <c r="J1867" i="1"/>
  <c r="I1867" i="1"/>
  <c r="H1867" i="1"/>
  <c r="L1866" i="1"/>
  <c r="K1866" i="1"/>
  <c r="J1866" i="1"/>
  <c r="I1866" i="1"/>
  <c r="H1866" i="1"/>
  <c r="L1865" i="1"/>
  <c r="K1865" i="1"/>
  <c r="J1865" i="1"/>
  <c r="I1865" i="1"/>
  <c r="H1865" i="1"/>
  <c r="L1864" i="1"/>
  <c r="K1864" i="1"/>
  <c r="J1864" i="1"/>
  <c r="I1864" i="1"/>
  <c r="H1864" i="1"/>
  <c r="L1863" i="1"/>
  <c r="K1863" i="1"/>
  <c r="J1863" i="1"/>
  <c r="I1863" i="1"/>
  <c r="H1863" i="1"/>
  <c r="L1862" i="1"/>
  <c r="K1862" i="1"/>
  <c r="J1862" i="1"/>
  <c r="I1862" i="1"/>
  <c r="H1862" i="1"/>
  <c r="L1861" i="1"/>
  <c r="K1861" i="1"/>
  <c r="J1861" i="1"/>
  <c r="I1861" i="1"/>
  <c r="H1861" i="1"/>
  <c r="L1860" i="1"/>
  <c r="K1860" i="1"/>
  <c r="J1860" i="1"/>
  <c r="I1860" i="1"/>
  <c r="H1860" i="1"/>
  <c r="L1859" i="1"/>
  <c r="K1859" i="1"/>
  <c r="J1859" i="1"/>
  <c r="I1859" i="1"/>
  <c r="H1859" i="1"/>
  <c r="L1858" i="1"/>
  <c r="K1858" i="1"/>
  <c r="J1858" i="1"/>
  <c r="I1858" i="1"/>
  <c r="H1858" i="1"/>
  <c r="L1857" i="1"/>
  <c r="K1857" i="1"/>
  <c r="J1857" i="1"/>
  <c r="I1857" i="1"/>
  <c r="H1857" i="1"/>
  <c r="L1856" i="1"/>
  <c r="K1856" i="1"/>
  <c r="J1856" i="1"/>
  <c r="I1856" i="1"/>
  <c r="H1856" i="1"/>
  <c r="L1855" i="1"/>
  <c r="K1855" i="1"/>
  <c r="J1855" i="1"/>
  <c r="I1855" i="1"/>
  <c r="H1855" i="1"/>
  <c r="L1854" i="1"/>
  <c r="K1854" i="1"/>
  <c r="J1854" i="1"/>
  <c r="I1854" i="1"/>
  <c r="H1854" i="1"/>
  <c r="L1853" i="1"/>
  <c r="K1853" i="1"/>
  <c r="J1853" i="1"/>
  <c r="I1853" i="1"/>
  <c r="H1853" i="1"/>
  <c r="L1852" i="1"/>
  <c r="K1852" i="1"/>
  <c r="J1852" i="1"/>
  <c r="I1852" i="1"/>
  <c r="H1852" i="1"/>
  <c r="L1851" i="1"/>
  <c r="K1851" i="1"/>
  <c r="J1851" i="1"/>
  <c r="I1851" i="1"/>
  <c r="H1851" i="1"/>
  <c r="L1850" i="1"/>
  <c r="K1850" i="1"/>
  <c r="J1850" i="1"/>
  <c r="I1850" i="1"/>
  <c r="H1850" i="1"/>
  <c r="L1849" i="1"/>
  <c r="K1849" i="1"/>
  <c r="J1849" i="1"/>
  <c r="I1849" i="1"/>
  <c r="H1849" i="1"/>
  <c r="L1848" i="1"/>
  <c r="K1848" i="1"/>
  <c r="J1848" i="1"/>
  <c r="I1848" i="1"/>
  <c r="H1848" i="1"/>
  <c r="L1847" i="1"/>
  <c r="K1847" i="1"/>
  <c r="J1847" i="1"/>
  <c r="I1847" i="1"/>
  <c r="H1847" i="1"/>
  <c r="L1846" i="1"/>
  <c r="K1846" i="1"/>
  <c r="J1846" i="1"/>
  <c r="I1846" i="1"/>
  <c r="H1846" i="1"/>
  <c r="L1845" i="1"/>
  <c r="K1845" i="1"/>
  <c r="J1845" i="1"/>
  <c r="I1845" i="1"/>
  <c r="H1845" i="1"/>
  <c r="L1844" i="1"/>
  <c r="K1844" i="1"/>
  <c r="J1844" i="1"/>
  <c r="I1844" i="1"/>
  <c r="H1844" i="1"/>
  <c r="L1843" i="1"/>
  <c r="K1843" i="1"/>
  <c r="J1843" i="1"/>
  <c r="I1843" i="1"/>
  <c r="H1843" i="1"/>
  <c r="L1842" i="1"/>
  <c r="K1842" i="1"/>
  <c r="J1842" i="1"/>
  <c r="I1842" i="1"/>
  <c r="H1842" i="1"/>
  <c r="L1841" i="1"/>
  <c r="K1841" i="1"/>
  <c r="J1841" i="1"/>
  <c r="I1841" i="1"/>
  <c r="H1841" i="1"/>
  <c r="L1840" i="1"/>
  <c r="K1840" i="1"/>
  <c r="J1840" i="1"/>
  <c r="I1840" i="1"/>
  <c r="H1840" i="1"/>
  <c r="L1839" i="1"/>
  <c r="K1839" i="1"/>
  <c r="J1839" i="1"/>
  <c r="I1839" i="1"/>
  <c r="H1839" i="1"/>
  <c r="L1838" i="1"/>
  <c r="K1838" i="1"/>
  <c r="J1838" i="1"/>
  <c r="I1838" i="1"/>
  <c r="H1838" i="1"/>
  <c r="L1837" i="1"/>
  <c r="K1837" i="1"/>
  <c r="J1837" i="1"/>
  <c r="I1837" i="1"/>
  <c r="H1837" i="1"/>
  <c r="L1836" i="1"/>
  <c r="K1836" i="1"/>
  <c r="J1836" i="1"/>
  <c r="I1836" i="1"/>
  <c r="H1836" i="1"/>
  <c r="L1835" i="1"/>
  <c r="K1835" i="1"/>
  <c r="J1835" i="1"/>
  <c r="I1835" i="1"/>
  <c r="H1835" i="1"/>
  <c r="L1834" i="1"/>
  <c r="K1834" i="1"/>
  <c r="J1834" i="1"/>
  <c r="I1834" i="1"/>
  <c r="H1834" i="1"/>
  <c r="L1833" i="1"/>
  <c r="K1833" i="1"/>
  <c r="J1833" i="1"/>
  <c r="I1833" i="1"/>
  <c r="H1833" i="1"/>
  <c r="L1832" i="1"/>
  <c r="K1832" i="1"/>
  <c r="J1832" i="1"/>
  <c r="I1832" i="1"/>
  <c r="H1832" i="1"/>
  <c r="L1831" i="1"/>
  <c r="K1831" i="1"/>
  <c r="J1831" i="1"/>
  <c r="I1831" i="1"/>
  <c r="H1831" i="1"/>
  <c r="L1830" i="1"/>
  <c r="K1830" i="1"/>
  <c r="J1830" i="1"/>
  <c r="I1830" i="1"/>
  <c r="H1830" i="1"/>
  <c r="L1829" i="1"/>
  <c r="K1829" i="1"/>
  <c r="J1829" i="1"/>
  <c r="I1829" i="1"/>
  <c r="H1829" i="1"/>
  <c r="L1828" i="1"/>
  <c r="K1828" i="1"/>
  <c r="J1828" i="1"/>
  <c r="I1828" i="1"/>
  <c r="H1828" i="1"/>
  <c r="L1827" i="1"/>
  <c r="K1827" i="1"/>
  <c r="J1827" i="1"/>
  <c r="I1827" i="1"/>
  <c r="H1827" i="1"/>
  <c r="L1826" i="1"/>
  <c r="K1826" i="1"/>
  <c r="J1826" i="1"/>
  <c r="I1826" i="1"/>
  <c r="H1826" i="1"/>
  <c r="L1825" i="1"/>
  <c r="K1825" i="1"/>
  <c r="J1825" i="1"/>
  <c r="I1825" i="1"/>
  <c r="H1825" i="1"/>
  <c r="L1824" i="1"/>
  <c r="K1824" i="1"/>
  <c r="J1824" i="1"/>
  <c r="I1824" i="1"/>
  <c r="H1824" i="1"/>
  <c r="L1823" i="1"/>
  <c r="K1823" i="1"/>
  <c r="J1823" i="1"/>
  <c r="I1823" i="1"/>
  <c r="H1823" i="1"/>
  <c r="L1822" i="1"/>
  <c r="K1822" i="1"/>
  <c r="J1822" i="1"/>
  <c r="I1822" i="1"/>
  <c r="H1822" i="1"/>
  <c r="L1821" i="1"/>
  <c r="K1821" i="1"/>
  <c r="J1821" i="1"/>
  <c r="I1821" i="1"/>
  <c r="H1821" i="1"/>
  <c r="L1820" i="1"/>
  <c r="K1820" i="1"/>
  <c r="J1820" i="1"/>
  <c r="I1820" i="1"/>
  <c r="H1820" i="1"/>
  <c r="L1819" i="1"/>
  <c r="K1819" i="1"/>
  <c r="J1819" i="1"/>
  <c r="I1819" i="1"/>
  <c r="H1819" i="1"/>
  <c r="L1818" i="1"/>
  <c r="K1818" i="1"/>
  <c r="J1818" i="1"/>
  <c r="I1818" i="1"/>
  <c r="H1818" i="1"/>
  <c r="L1817" i="1"/>
  <c r="K1817" i="1"/>
  <c r="J1817" i="1"/>
  <c r="I1817" i="1"/>
  <c r="H1817" i="1"/>
  <c r="L1816" i="1"/>
  <c r="K1816" i="1"/>
  <c r="J1816" i="1"/>
  <c r="I1816" i="1"/>
  <c r="H1816" i="1"/>
  <c r="L1815" i="1"/>
  <c r="K1815" i="1"/>
  <c r="J1815" i="1"/>
  <c r="I1815" i="1"/>
  <c r="H1815" i="1"/>
  <c r="L1814" i="1"/>
  <c r="K1814" i="1"/>
  <c r="J1814" i="1"/>
  <c r="I1814" i="1"/>
  <c r="H1814" i="1"/>
  <c r="L1813" i="1"/>
  <c r="K1813" i="1"/>
  <c r="J1813" i="1"/>
  <c r="I1813" i="1"/>
  <c r="H1813" i="1"/>
  <c r="L1812" i="1"/>
  <c r="K1812" i="1"/>
  <c r="J1812" i="1"/>
  <c r="I1812" i="1"/>
  <c r="H1812" i="1"/>
  <c r="L1811" i="1"/>
  <c r="K1811" i="1"/>
  <c r="J1811" i="1"/>
  <c r="I1811" i="1"/>
  <c r="H1811" i="1"/>
  <c r="L1810" i="1"/>
  <c r="K1810" i="1"/>
  <c r="J1810" i="1"/>
  <c r="I1810" i="1"/>
  <c r="H1810" i="1"/>
  <c r="L1809" i="1"/>
  <c r="K1809" i="1"/>
  <c r="J1809" i="1"/>
  <c r="I1809" i="1"/>
  <c r="H1809" i="1"/>
  <c r="L1808" i="1"/>
  <c r="K1808" i="1"/>
  <c r="J1808" i="1"/>
  <c r="I1808" i="1"/>
  <c r="H1808" i="1"/>
  <c r="L1807" i="1"/>
  <c r="K1807" i="1"/>
  <c r="J1807" i="1"/>
  <c r="I1807" i="1"/>
  <c r="H1807" i="1"/>
  <c r="L1806" i="1"/>
  <c r="K1806" i="1"/>
  <c r="J1806" i="1"/>
  <c r="I1806" i="1"/>
  <c r="H1806" i="1"/>
  <c r="L1805" i="1"/>
  <c r="K1805" i="1"/>
  <c r="J1805" i="1"/>
  <c r="I1805" i="1"/>
  <c r="H1805" i="1"/>
  <c r="L1804" i="1"/>
  <c r="K1804" i="1"/>
  <c r="J1804" i="1"/>
  <c r="I1804" i="1"/>
  <c r="H1804" i="1"/>
  <c r="L1803" i="1"/>
  <c r="K1803" i="1"/>
  <c r="J1803" i="1"/>
  <c r="I1803" i="1"/>
  <c r="H1803" i="1"/>
  <c r="L1802" i="1"/>
  <c r="K1802" i="1"/>
  <c r="J1802" i="1"/>
  <c r="I1802" i="1"/>
  <c r="H1802" i="1"/>
  <c r="L1801" i="1"/>
  <c r="K1801" i="1"/>
  <c r="J1801" i="1"/>
  <c r="I1801" i="1"/>
  <c r="H1801" i="1"/>
  <c r="L1800" i="1"/>
  <c r="K1800" i="1"/>
  <c r="J1800" i="1"/>
  <c r="I1800" i="1"/>
  <c r="H1800" i="1"/>
  <c r="L1799" i="1"/>
  <c r="K1799" i="1"/>
  <c r="J1799" i="1"/>
  <c r="I1799" i="1"/>
  <c r="H1799" i="1"/>
  <c r="L1798" i="1"/>
  <c r="K1798" i="1"/>
  <c r="J1798" i="1"/>
  <c r="I1798" i="1"/>
  <c r="H1798" i="1"/>
  <c r="L1797" i="1"/>
  <c r="K1797" i="1"/>
  <c r="J1797" i="1"/>
  <c r="I1797" i="1"/>
  <c r="H1797" i="1"/>
  <c r="L1796" i="1"/>
  <c r="K1796" i="1"/>
  <c r="J1796" i="1"/>
  <c r="I1796" i="1"/>
  <c r="H1796" i="1"/>
  <c r="L1795" i="1"/>
  <c r="K1795" i="1"/>
  <c r="J1795" i="1"/>
  <c r="I1795" i="1"/>
  <c r="H1795" i="1"/>
  <c r="L1794" i="1"/>
  <c r="K1794" i="1"/>
  <c r="J1794" i="1"/>
  <c r="I1794" i="1"/>
  <c r="H1794" i="1"/>
  <c r="L1793" i="1"/>
  <c r="K1793" i="1"/>
  <c r="J1793" i="1"/>
  <c r="I1793" i="1"/>
  <c r="H1793" i="1"/>
  <c r="L1792" i="1"/>
  <c r="K1792" i="1"/>
  <c r="J1792" i="1"/>
  <c r="I1792" i="1"/>
  <c r="H1792" i="1"/>
  <c r="L1791" i="1"/>
  <c r="K1791" i="1"/>
  <c r="J1791" i="1"/>
  <c r="I1791" i="1"/>
  <c r="H1791" i="1"/>
  <c r="L1790" i="1"/>
  <c r="K1790" i="1"/>
  <c r="J1790" i="1"/>
  <c r="I1790" i="1"/>
  <c r="H1790" i="1"/>
  <c r="L1789" i="1"/>
  <c r="K1789" i="1"/>
  <c r="J1789" i="1"/>
  <c r="I1789" i="1"/>
  <c r="H1789" i="1"/>
  <c r="L1788" i="1"/>
  <c r="K1788" i="1"/>
  <c r="J1788" i="1"/>
  <c r="I1788" i="1"/>
  <c r="H1788" i="1"/>
  <c r="L1787" i="1"/>
  <c r="K1787" i="1"/>
  <c r="J1787" i="1"/>
  <c r="I1787" i="1"/>
  <c r="H1787" i="1"/>
  <c r="L1786" i="1"/>
  <c r="K1786" i="1"/>
  <c r="J1786" i="1"/>
  <c r="I1786" i="1"/>
  <c r="H1786" i="1"/>
  <c r="L1785" i="1"/>
  <c r="K1785" i="1"/>
  <c r="J1785" i="1"/>
  <c r="I1785" i="1"/>
  <c r="H1785" i="1"/>
  <c r="L1784" i="1"/>
  <c r="K1784" i="1"/>
  <c r="J1784" i="1"/>
  <c r="I1784" i="1"/>
  <c r="H1784" i="1"/>
  <c r="L1783" i="1"/>
  <c r="K1783" i="1"/>
  <c r="J1783" i="1"/>
  <c r="I1783" i="1"/>
  <c r="H1783" i="1"/>
  <c r="L1782" i="1"/>
  <c r="K1782" i="1"/>
  <c r="J1782" i="1"/>
  <c r="I1782" i="1"/>
  <c r="H1782" i="1"/>
  <c r="L1781" i="1"/>
  <c r="K1781" i="1"/>
  <c r="J1781" i="1"/>
  <c r="I1781" i="1"/>
  <c r="H1781" i="1"/>
  <c r="L1780" i="1"/>
  <c r="K1780" i="1"/>
  <c r="J1780" i="1"/>
  <c r="I1780" i="1"/>
  <c r="H1780" i="1"/>
  <c r="L1779" i="1"/>
  <c r="K1779" i="1"/>
  <c r="J1779" i="1"/>
  <c r="I1779" i="1"/>
  <c r="H1779" i="1"/>
  <c r="L1778" i="1"/>
  <c r="K1778" i="1"/>
  <c r="J1778" i="1"/>
  <c r="I1778" i="1"/>
  <c r="H1778" i="1"/>
  <c r="L1777" i="1"/>
  <c r="K1777" i="1"/>
  <c r="J1777" i="1"/>
  <c r="I1777" i="1"/>
  <c r="H1777" i="1"/>
  <c r="L1776" i="1"/>
  <c r="K1776" i="1"/>
  <c r="J1776" i="1"/>
  <c r="I1776" i="1"/>
  <c r="H1776" i="1"/>
  <c r="L1775" i="1"/>
  <c r="K1775" i="1"/>
  <c r="J1775" i="1"/>
  <c r="I1775" i="1"/>
  <c r="H1775" i="1"/>
  <c r="L1774" i="1"/>
  <c r="K1774" i="1"/>
  <c r="J1774" i="1"/>
  <c r="I1774" i="1"/>
  <c r="H1774" i="1"/>
  <c r="L1773" i="1"/>
  <c r="K1773" i="1"/>
  <c r="J1773" i="1"/>
  <c r="I1773" i="1"/>
  <c r="H1773" i="1"/>
  <c r="L1772" i="1"/>
  <c r="K1772" i="1"/>
  <c r="J1772" i="1"/>
  <c r="I1772" i="1"/>
  <c r="H1772" i="1"/>
  <c r="L1771" i="1"/>
  <c r="K1771" i="1"/>
  <c r="J1771" i="1"/>
  <c r="I1771" i="1"/>
  <c r="H1771" i="1"/>
  <c r="L1770" i="1"/>
  <c r="K1770" i="1"/>
  <c r="J1770" i="1"/>
  <c r="I1770" i="1"/>
  <c r="H1770" i="1"/>
  <c r="L1769" i="1"/>
  <c r="K1769" i="1"/>
  <c r="J1769" i="1"/>
  <c r="I1769" i="1"/>
  <c r="H1769" i="1"/>
  <c r="L1768" i="1"/>
  <c r="K1768" i="1"/>
  <c r="J1768" i="1"/>
  <c r="I1768" i="1"/>
  <c r="H1768" i="1"/>
  <c r="L1767" i="1"/>
  <c r="K1767" i="1"/>
  <c r="J1767" i="1"/>
  <c r="I1767" i="1"/>
  <c r="H1767" i="1"/>
  <c r="L1766" i="1"/>
  <c r="K1766" i="1"/>
  <c r="J1766" i="1"/>
  <c r="I1766" i="1"/>
  <c r="H1766" i="1"/>
  <c r="L1765" i="1"/>
  <c r="K1765" i="1"/>
  <c r="J1765" i="1"/>
  <c r="I1765" i="1"/>
  <c r="H1765" i="1"/>
  <c r="L1764" i="1"/>
  <c r="K1764" i="1"/>
  <c r="J1764" i="1"/>
  <c r="I1764" i="1"/>
  <c r="H1764" i="1"/>
  <c r="L1763" i="1"/>
  <c r="K1763" i="1"/>
  <c r="J1763" i="1"/>
  <c r="I1763" i="1"/>
  <c r="H1763" i="1"/>
  <c r="L1762" i="1"/>
  <c r="K1762" i="1"/>
  <c r="J1762" i="1"/>
  <c r="I1762" i="1"/>
  <c r="H1762" i="1"/>
  <c r="L1761" i="1"/>
  <c r="K1761" i="1"/>
  <c r="J1761" i="1"/>
  <c r="I1761" i="1"/>
  <c r="H1761" i="1"/>
  <c r="L1760" i="1"/>
  <c r="K1760" i="1"/>
  <c r="J1760" i="1"/>
  <c r="I1760" i="1"/>
  <c r="H1760" i="1"/>
  <c r="L1759" i="1"/>
  <c r="K1759" i="1"/>
  <c r="J1759" i="1"/>
  <c r="I1759" i="1"/>
  <c r="H1759" i="1"/>
  <c r="L1758" i="1"/>
  <c r="K1758" i="1"/>
  <c r="J1758" i="1"/>
  <c r="I1758" i="1"/>
  <c r="H1758" i="1"/>
  <c r="L1757" i="1"/>
  <c r="K1757" i="1"/>
  <c r="J1757" i="1"/>
  <c r="I1757" i="1"/>
  <c r="H1757" i="1"/>
  <c r="L1756" i="1"/>
  <c r="K1756" i="1"/>
  <c r="J1756" i="1"/>
  <c r="I1756" i="1"/>
  <c r="H1756" i="1"/>
  <c r="L1755" i="1"/>
  <c r="K1755" i="1"/>
  <c r="J1755" i="1"/>
  <c r="I1755" i="1"/>
  <c r="H1755" i="1"/>
  <c r="L1754" i="1"/>
  <c r="K1754" i="1"/>
  <c r="J1754" i="1"/>
  <c r="I1754" i="1"/>
  <c r="H1754" i="1"/>
  <c r="L1753" i="1"/>
  <c r="K1753" i="1"/>
  <c r="J1753" i="1"/>
  <c r="I1753" i="1"/>
  <c r="H1753" i="1"/>
  <c r="L1752" i="1"/>
  <c r="K1752" i="1"/>
  <c r="J1752" i="1"/>
  <c r="I1752" i="1"/>
  <c r="H1752" i="1"/>
  <c r="L1751" i="1"/>
  <c r="K1751" i="1"/>
  <c r="J1751" i="1"/>
  <c r="I1751" i="1"/>
  <c r="H1751" i="1"/>
  <c r="L1750" i="1"/>
  <c r="K1750" i="1"/>
  <c r="J1750" i="1"/>
  <c r="I1750" i="1"/>
  <c r="H1750" i="1"/>
  <c r="L1749" i="1"/>
  <c r="K1749" i="1"/>
  <c r="J1749" i="1"/>
  <c r="I1749" i="1"/>
  <c r="H1749" i="1"/>
  <c r="L1748" i="1"/>
  <c r="K1748" i="1"/>
  <c r="J1748" i="1"/>
  <c r="I1748" i="1"/>
  <c r="H1748" i="1"/>
  <c r="L1747" i="1"/>
  <c r="K1747" i="1"/>
  <c r="J1747" i="1"/>
  <c r="I1747" i="1"/>
  <c r="H1747" i="1"/>
  <c r="L1746" i="1"/>
  <c r="K1746" i="1"/>
  <c r="J1746" i="1"/>
  <c r="I1746" i="1"/>
  <c r="H1746" i="1"/>
  <c r="L1745" i="1"/>
  <c r="K1745" i="1"/>
  <c r="J1745" i="1"/>
  <c r="I1745" i="1"/>
  <c r="H1745" i="1"/>
  <c r="L1744" i="1"/>
  <c r="K1744" i="1"/>
  <c r="J1744" i="1"/>
  <c r="I1744" i="1"/>
  <c r="H1744" i="1"/>
  <c r="L1743" i="1"/>
  <c r="K1743" i="1"/>
  <c r="J1743" i="1"/>
  <c r="I1743" i="1"/>
  <c r="H1743" i="1"/>
  <c r="L1742" i="1"/>
  <c r="K1742" i="1"/>
  <c r="J1742" i="1"/>
  <c r="I1742" i="1"/>
  <c r="H1742" i="1"/>
  <c r="L1741" i="1"/>
  <c r="K1741" i="1"/>
  <c r="J1741" i="1"/>
  <c r="I1741" i="1"/>
  <c r="H1741" i="1"/>
  <c r="L1740" i="1"/>
  <c r="K1740" i="1"/>
  <c r="J1740" i="1"/>
  <c r="I1740" i="1"/>
  <c r="H1740" i="1"/>
  <c r="L1739" i="1"/>
  <c r="K1739" i="1"/>
  <c r="J1739" i="1"/>
  <c r="I1739" i="1"/>
  <c r="H1739" i="1"/>
  <c r="L1738" i="1"/>
  <c r="K1738" i="1"/>
  <c r="J1738" i="1"/>
  <c r="I1738" i="1"/>
  <c r="H1738" i="1"/>
  <c r="L1737" i="1"/>
  <c r="K1737" i="1"/>
  <c r="J1737" i="1"/>
  <c r="I1737" i="1"/>
  <c r="H1737" i="1"/>
  <c r="L1736" i="1"/>
  <c r="K1736" i="1"/>
  <c r="J1736" i="1"/>
  <c r="I1736" i="1"/>
  <c r="H1736" i="1"/>
  <c r="L1735" i="1"/>
  <c r="K1735" i="1"/>
  <c r="J1735" i="1"/>
  <c r="I1735" i="1"/>
  <c r="H1735" i="1"/>
  <c r="L1734" i="1"/>
  <c r="K1734" i="1"/>
  <c r="J1734" i="1"/>
  <c r="I1734" i="1"/>
  <c r="H1734" i="1"/>
  <c r="L1733" i="1"/>
  <c r="K1733" i="1"/>
  <c r="J1733" i="1"/>
  <c r="I1733" i="1"/>
  <c r="H1733" i="1"/>
  <c r="L1732" i="1"/>
  <c r="K1732" i="1"/>
  <c r="J1732" i="1"/>
  <c r="I1732" i="1"/>
  <c r="H1732" i="1"/>
  <c r="L1731" i="1"/>
  <c r="K1731" i="1"/>
  <c r="J1731" i="1"/>
  <c r="I1731" i="1"/>
  <c r="H1731" i="1"/>
  <c r="L1730" i="1"/>
  <c r="K1730" i="1"/>
  <c r="J1730" i="1"/>
  <c r="I1730" i="1"/>
  <c r="H1730" i="1"/>
  <c r="L1729" i="1"/>
  <c r="K1729" i="1"/>
  <c r="J1729" i="1"/>
  <c r="I1729" i="1"/>
  <c r="H1729" i="1"/>
  <c r="L1728" i="1"/>
  <c r="K1728" i="1"/>
  <c r="J1728" i="1"/>
  <c r="I1728" i="1"/>
  <c r="H1728" i="1"/>
  <c r="L1727" i="1"/>
  <c r="K1727" i="1"/>
  <c r="J1727" i="1"/>
  <c r="I1727" i="1"/>
  <c r="H1727" i="1"/>
  <c r="L1726" i="1"/>
  <c r="K1726" i="1"/>
  <c r="J1726" i="1"/>
  <c r="I1726" i="1"/>
  <c r="H1726" i="1"/>
  <c r="L1725" i="1"/>
  <c r="K1725" i="1"/>
  <c r="J1725" i="1"/>
  <c r="I1725" i="1"/>
  <c r="H1725" i="1"/>
  <c r="L1724" i="1"/>
  <c r="K1724" i="1"/>
  <c r="J1724" i="1"/>
  <c r="I1724" i="1"/>
  <c r="H1724" i="1"/>
  <c r="L1723" i="1"/>
  <c r="K1723" i="1"/>
  <c r="J1723" i="1"/>
  <c r="I1723" i="1"/>
  <c r="H1723" i="1"/>
  <c r="L1722" i="1"/>
  <c r="K1722" i="1"/>
  <c r="J1722" i="1"/>
  <c r="I1722" i="1"/>
  <c r="H1722" i="1"/>
  <c r="L1721" i="1"/>
  <c r="K1721" i="1"/>
  <c r="J1721" i="1"/>
  <c r="I1721" i="1"/>
  <c r="H1721" i="1"/>
  <c r="L1720" i="1"/>
  <c r="K1720" i="1"/>
  <c r="J1720" i="1"/>
  <c r="I1720" i="1"/>
  <c r="H1720" i="1"/>
  <c r="L1719" i="1"/>
  <c r="K1719" i="1"/>
  <c r="J1719" i="1"/>
  <c r="I1719" i="1"/>
  <c r="H1719" i="1"/>
  <c r="L1718" i="1"/>
  <c r="K1718" i="1"/>
  <c r="J1718" i="1"/>
  <c r="I1718" i="1"/>
  <c r="H1718" i="1"/>
  <c r="L1717" i="1"/>
  <c r="K1717" i="1"/>
  <c r="J1717" i="1"/>
  <c r="I1717" i="1"/>
  <c r="H1717" i="1"/>
  <c r="L1716" i="1"/>
  <c r="K1716" i="1"/>
  <c r="J1716" i="1"/>
  <c r="I1716" i="1"/>
  <c r="H1716" i="1"/>
  <c r="L1715" i="1"/>
  <c r="K1715" i="1"/>
  <c r="J1715" i="1"/>
  <c r="I1715" i="1"/>
  <c r="H1715" i="1"/>
  <c r="L1714" i="1"/>
  <c r="K1714" i="1"/>
  <c r="J1714" i="1"/>
  <c r="I1714" i="1"/>
  <c r="H1714" i="1"/>
  <c r="L1713" i="1"/>
  <c r="K1713" i="1"/>
  <c r="J1713" i="1"/>
  <c r="I1713" i="1"/>
  <c r="H1713" i="1"/>
  <c r="L1712" i="1"/>
  <c r="K1712" i="1"/>
  <c r="J1712" i="1"/>
  <c r="I1712" i="1"/>
  <c r="H1712" i="1"/>
  <c r="L1711" i="1"/>
  <c r="K1711" i="1"/>
  <c r="J1711" i="1"/>
  <c r="I1711" i="1"/>
  <c r="H1711" i="1"/>
  <c r="L1710" i="1"/>
  <c r="K1710" i="1"/>
  <c r="J1710" i="1"/>
  <c r="I1710" i="1"/>
  <c r="H1710" i="1"/>
  <c r="L1709" i="1"/>
  <c r="K1709" i="1"/>
  <c r="J1709" i="1"/>
  <c r="I1709" i="1"/>
  <c r="H1709" i="1"/>
  <c r="L1708" i="1"/>
  <c r="K1708" i="1"/>
  <c r="J1708" i="1"/>
  <c r="I1708" i="1"/>
  <c r="H1708" i="1"/>
  <c r="L1707" i="1"/>
  <c r="K1707" i="1"/>
  <c r="J1707" i="1"/>
  <c r="I1707" i="1"/>
  <c r="H1707" i="1"/>
  <c r="L1706" i="1"/>
  <c r="K1706" i="1"/>
  <c r="J1706" i="1"/>
  <c r="I1706" i="1"/>
  <c r="H1706" i="1"/>
  <c r="L1705" i="1"/>
  <c r="K1705" i="1"/>
  <c r="J1705" i="1"/>
  <c r="I1705" i="1"/>
  <c r="H1705" i="1"/>
  <c r="L1704" i="1"/>
  <c r="K1704" i="1"/>
  <c r="J1704" i="1"/>
  <c r="I1704" i="1"/>
  <c r="H1704" i="1"/>
  <c r="L1703" i="1"/>
  <c r="K1703" i="1"/>
  <c r="J1703" i="1"/>
  <c r="I1703" i="1"/>
  <c r="H1703" i="1"/>
  <c r="L1702" i="1"/>
  <c r="K1702" i="1"/>
  <c r="J1702" i="1"/>
  <c r="I1702" i="1"/>
  <c r="H1702" i="1"/>
  <c r="L1701" i="1"/>
  <c r="K1701" i="1"/>
  <c r="J1701" i="1"/>
  <c r="I1701" i="1"/>
  <c r="H1701" i="1"/>
  <c r="L1700" i="1"/>
  <c r="K1700" i="1"/>
  <c r="J1700" i="1"/>
  <c r="I1700" i="1"/>
  <c r="H1700" i="1"/>
  <c r="L1699" i="1"/>
  <c r="K1699" i="1"/>
  <c r="J1699" i="1"/>
  <c r="I1699" i="1"/>
  <c r="H1699" i="1"/>
  <c r="L1698" i="1"/>
  <c r="K1698" i="1"/>
  <c r="J1698" i="1"/>
  <c r="I1698" i="1"/>
  <c r="H1698" i="1"/>
  <c r="L1697" i="1"/>
  <c r="K1697" i="1"/>
  <c r="J1697" i="1"/>
  <c r="I1697" i="1"/>
  <c r="H1697" i="1"/>
  <c r="L1696" i="1"/>
  <c r="K1696" i="1"/>
  <c r="J1696" i="1"/>
  <c r="I1696" i="1"/>
  <c r="H1696" i="1"/>
  <c r="L1695" i="1"/>
  <c r="K1695" i="1"/>
  <c r="J1695" i="1"/>
  <c r="I1695" i="1"/>
  <c r="H1695" i="1"/>
  <c r="L1694" i="1"/>
  <c r="K1694" i="1"/>
  <c r="J1694" i="1"/>
  <c r="I1694" i="1"/>
  <c r="H1694" i="1"/>
  <c r="L1693" i="1"/>
  <c r="K1693" i="1"/>
  <c r="J1693" i="1"/>
  <c r="I1693" i="1"/>
  <c r="H1693" i="1"/>
  <c r="L1692" i="1"/>
  <c r="K1692" i="1"/>
  <c r="J1692" i="1"/>
  <c r="I1692" i="1"/>
  <c r="H1692" i="1"/>
  <c r="L1691" i="1"/>
  <c r="K1691" i="1"/>
  <c r="J1691" i="1"/>
  <c r="I1691" i="1"/>
  <c r="H1691" i="1"/>
  <c r="L1690" i="1"/>
  <c r="K1690" i="1"/>
  <c r="J1690" i="1"/>
  <c r="I1690" i="1"/>
  <c r="H1690" i="1"/>
  <c r="L1689" i="1"/>
  <c r="K1689" i="1"/>
  <c r="J1689" i="1"/>
  <c r="I1689" i="1"/>
  <c r="H1689" i="1"/>
  <c r="L1688" i="1"/>
  <c r="K1688" i="1"/>
  <c r="J1688" i="1"/>
  <c r="I1688" i="1"/>
  <c r="H1688" i="1"/>
  <c r="L1687" i="1"/>
  <c r="K1687" i="1"/>
  <c r="J1687" i="1"/>
  <c r="I1687" i="1"/>
  <c r="H1687" i="1"/>
  <c r="L1686" i="1"/>
  <c r="K1686" i="1"/>
  <c r="J1686" i="1"/>
  <c r="I1686" i="1"/>
  <c r="H1686" i="1"/>
  <c r="L1685" i="1"/>
  <c r="K1685" i="1"/>
  <c r="J1685" i="1"/>
  <c r="I1685" i="1"/>
  <c r="H1685" i="1"/>
  <c r="L1684" i="1"/>
  <c r="K1684" i="1"/>
  <c r="J1684" i="1"/>
  <c r="I1684" i="1"/>
  <c r="H1684" i="1"/>
  <c r="L1683" i="1"/>
  <c r="K1683" i="1"/>
  <c r="J1683" i="1"/>
  <c r="I1683" i="1"/>
  <c r="H1683" i="1"/>
  <c r="L1682" i="1"/>
  <c r="K1682" i="1"/>
  <c r="J1682" i="1"/>
  <c r="I1682" i="1"/>
  <c r="H1682" i="1"/>
  <c r="L1681" i="1"/>
  <c r="K1681" i="1"/>
  <c r="J1681" i="1"/>
  <c r="I1681" i="1"/>
  <c r="H1681" i="1"/>
  <c r="L1680" i="1"/>
  <c r="K1680" i="1"/>
  <c r="J1680" i="1"/>
  <c r="I1680" i="1"/>
  <c r="H1680" i="1"/>
  <c r="L1679" i="1"/>
  <c r="K1679" i="1"/>
  <c r="J1679" i="1"/>
  <c r="I1679" i="1"/>
  <c r="H1679" i="1"/>
  <c r="L1678" i="1"/>
  <c r="K1678" i="1"/>
  <c r="J1678" i="1"/>
  <c r="I1678" i="1"/>
  <c r="H1678" i="1"/>
  <c r="L1677" i="1"/>
  <c r="K1677" i="1"/>
  <c r="J1677" i="1"/>
  <c r="I1677" i="1"/>
  <c r="H1677" i="1"/>
  <c r="L1676" i="1"/>
  <c r="K1676" i="1"/>
  <c r="J1676" i="1"/>
  <c r="I1676" i="1"/>
  <c r="H1676" i="1"/>
  <c r="L1675" i="1"/>
  <c r="K1675" i="1"/>
  <c r="J1675" i="1"/>
  <c r="I1675" i="1"/>
  <c r="H1675" i="1"/>
  <c r="L1674" i="1"/>
  <c r="K1674" i="1"/>
  <c r="J1674" i="1"/>
  <c r="I1674" i="1"/>
  <c r="H1674" i="1"/>
  <c r="L1673" i="1"/>
  <c r="K1673" i="1"/>
  <c r="J1673" i="1"/>
  <c r="I1673" i="1"/>
  <c r="H1673" i="1"/>
  <c r="L1672" i="1"/>
  <c r="K1672" i="1"/>
  <c r="J1672" i="1"/>
  <c r="I1672" i="1"/>
  <c r="H1672" i="1"/>
  <c r="L1671" i="1"/>
  <c r="K1671" i="1"/>
  <c r="J1671" i="1"/>
  <c r="I1671" i="1"/>
  <c r="H1671" i="1"/>
  <c r="L1670" i="1"/>
  <c r="K1670" i="1"/>
  <c r="J1670" i="1"/>
  <c r="I1670" i="1"/>
  <c r="H1670" i="1"/>
  <c r="L1669" i="1"/>
  <c r="K1669" i="1"/>
  <c r="J1669" i="1"/>
  <c r="I1669" i="1"/>
  <c r="H1669" i="1"/>
  <c r="L1668" i="1"/>
  <c r="K1668" i="1"/>
  <c r="J1668" i="1"/>
  <c r="I1668" i="1"/>
  <c r="H1668" i="1"/>
  <c r="L1667" i="1"/>
  <c r="K1667" i="1"/>
  <c r="J1667" i="1"/>
  <c r="I1667" i="1"/>
  <c r="H1667" i="1"/>
  <c r="L1666" i="1"/>
  <c r="K1666" i="1"/>
  <c r="J1666" i="1"/>
  <c r="I1666" i="1"/>
  <c r="H1666" i="1"/>
  <c r="L1665" i="1"/>
  <c r="K1665" i="1"/>
  <c r="J1665" i="1"/>
  <c r="I1665" i="1"/>
  <c r="H1665" i="1"/>
  <c r="L1664" i="1"/>
  <c r="K1664" i="1"/>
  <c r="J1664" i="1"/>
  <c r="I1664" i="1"/>
  <c r="H1664" i="1"/>
  <c r="L1663" i="1"/>
  <c r="K1663" i="1"/>
  <c r="J1663" i="1"/>
  <c r="I1663" i="1"/>
  <c r="H1663" i="1"/>
  <c r="L1662" i="1"/>
  <c r="K1662" i="1"/>
  <c r="J1662" i="1"/>
  <c r="I1662" i="1"/>
  <c r="H1662" i="1"/>
  <c r="L1661" i="1"/>
  <c r="K1661" i="1"/>
  <c r="J1661" i="1"/>
  <c r="I1661" i="1"/>
  <c r="H1661" i="1"/>
  <c r="L1660" i="1"/>
  <c r="K1660" i="1"/>
  <c r="J1660" i="1"/>
  <c r="I1660" i="1"/>
  <c r="H1660" i="1"/>
  <c r="L1659" i="1"/>
  <c r="K1659" i="1"/>
  <c r="J1659" i="1"/>
  <c r="I1659" i="1"/>
  <c r="H1659" i="1"/>
  <c r="L1658" i="1"/>
  <c r="K1658" i="1"/>
  <c r="J1658" i="1"/>
  <c r="I1658" i="1"/>
  <c r="H1658" i="1"/>
  <c r="L1657" i="1"/>
  <c r="K1657" i="1"/>
  <c r="J1657" i="1"/>
  <c r="I1657" i="1"/>
  <c r="H1657" i="1"/>
  <c r="L1656" i="1"/>
  <c r="K1656" i="1"/>
  <c r="J1656" i="1"/>
  <c r="I1656" i="1"/>
  <c r="H1656" i="1"/>
  <c r="L1655" i="1"/>
  <c r="K1655" i="1"/>
  <c r="J1655" i="1"/>
  <c r="I1655" i="1"/>
  <c r="H1655" i="1"/>
  <c r="L1654" i="1"/>
  <c r="K1654" i="1"/>
  <c r="J1654" i="1"/>
  <c r="I1654" i="1"/>
  <c r="H1654" i="1"/>
  <c r="L1653" i="1"/>
  <c r="K1653" i="1"/>
  <c r="J1653" i="1"/>
  <c r="I1653" i="1"/>
  <c r="H1653" i="1"/>
  <c r="L1652" i="1"/>
  <c r="K1652" i="1"/>
  <c r="J1652" i="1"/>
  <c r="I1652" i="1"/>
  <c r="H1652" i="1"/>
  <c r="L1651" i="1"/>
  <c r="K1651" i="1"/>
  <c r="J1651" i="1"/>
  <c r="I1651" i="1"/>
  <c r="H1651" i="1"/>
  <c r="L1650" i="1"/>
  <c r="K1650" i="1"/>
  <c r="J1650" i="1"/>
  <c r="I1650" i="1"/>
  <c r="H1650" i="1"/>
  <c r="L1649" i="1"/>
  <c r="K1649" i="1"/>
  <c r="J1649" i="1"/>
  <c r="I1649" i="1"/>
  <c r="H1649" i="1"/>
  <c r="L1648" i="1"/>
  <c r="K1648" i="1"/>
  <c r="J1648" i="1"/>
  <c r="I1648" i="1"/>
  <c r="H1648" i="1"/>
  <c r="L1647" i="1"/>
  <c r="K1647" i="1"/>
  <c r="J1647" i="1"/>
  <c r="I1647" i="1"/>
  <c r="H1647" i="1"/>
  <c r="L1646" i="1"/>
  <c r="K1646" i="1"/>
  <c r="J1646" i="1"/>
  <c r="I1646" i="1"/>
  <c r="H1646" i="1"/>
  <c r="L1645" i="1"/>
  <c r="K1645" i="1"/>
  <c r="J1645" i="1"/>
  <c r="I1645" i="1"/>
  <c r="H1645" i="1"/>
  <c r="L1644" i="1"/>
  <c r="K1644" i="1"/>
  <c r="J1644" i="1"/>
  <c r="I1644" i="1"/>
  <c r="H1644" i="1"/>
  <c r="L1643" i="1"/>
  <c r="K1643" i="1"/>
  <c r="J1643" i="1"/>
  <c r="I1643" i="1"/>
  <c r="H1643" i="1"/>
  <c r="L1642" i="1"/>
  <c r="K1642" i="1"/>
  <c r="J1642" i="1"/>
  <c r="I1642" i="1"/>
  <c r="H1642" i="1"/>
  <c r="L1641" i="1"/>
  <c r="K1641" i="1"/>
  <c r="J1641" i="1"/>
  <c r="I1641" i="1"/>
  <c r="H1641" i="1"/>
  <c r="L1640" i="1"/>
  <c r="K1640" i="1"/>
  <c r="J1640" i="1"/>
  <c r="I1640" i="1"/>
  <c r="H1640" i="1"/>
  <c r="L1639" i="1"/>
  <c r="K1639" i="1"/>
  <c r="J1639" i="1"/>
  <c r="I1639" i="1"/>
  <c r="H1639" i="1"/>
  <c r="L1638" i="1"/>
  <c r="K1638" i="1"/>
  <c r="J1638" i="1"/>
  <c r="I1638" i="1"/>
  <c r="H1638" i="1"/>
  <c r="L1637" i="1"/>
  <c r="K1637" i="1"/>
  <c r="J1637" i="1"/>
  <c r="I1637" i="1"/>
  <c r="H1637" i="1"/>
  <c r="L1636" i="1"/>
  <c r="K1636" i="1"/>
  <c r="J1636" i="1"/>
  <c r="I1636" i="1"/>
  <c r="H1636" i="1"/>
  <c r="L1635" i="1"/>
  <c r="K1635" i="1"/>
  <c r="J1635" i="1"/>
  <c r="I1635" i="1"/>
  <c r="H1635" i="1"/>
  <c r="L1634" i="1"/>
  <c r="K1634" i="1"/>
  <c r="J1634" i="1"/>
  <c r="I1634" i="1"/>
  <c r="H1634" i="1"/>
  <c r="L1633" i="1"/>
  <c r="K1633" i="1"/>
  <c r="J1633" i="1"/>
  <c r="I1633" i="1"/>
  <c r="H1633" i="1"/>
  <c r="L1632" i="1"/>
  <c r="K1632" i="1"/>
  <c r="J1632" i="1"/>
  <c r="I1632" i="1"/>
  <c r="H1632" i="1"/>
  <c r="L1631" i="1"/>
  <c r="K1631" i="1"/>
  <c r="J1631" i="1"/>
  <c r="I1631" i="1"/>
  <c r="H1631" i="1"/>
  <c r="L1630" i="1"/>
  <c r="K1630" i="1"/>
  <c r="J1630" i="1"/>
  <c r="I1630" i="1"/>
  <c r="H1630" i="1"/>
  <c r="L1629" i="1"/>
  <c r="K1629" i="1"/>
  <c r="J1629" i="1"/>
  <c r="I1629" i="1"/>
  <c r="H1629" i="1"/>
  <c r="L1628" i="1"/>
  <c r="K1628" i="1"/>
  <c r="J1628" i="1"/>
  <c r="I1628" i="1"/>
  <c r="H1628" i="1"/>
  <c r="L1627" i="1"/>
  <c r="K1627" i="1"/>
  <c r="J1627" i="1"/>
  <c r="I1627" i="1"/>
  <c r="H1627" i="1"/>
  <c r="L1626" i="1"/>
  <c r="K1626" i="1"/>
  <c r="J1626" i="1"/>
  <c r="I1626" i="1"/>
  <c r="H1626" i="1"/>
  <c r="L1625" i="1"/>
  <c r="K1625" i="1"/>
  <c r="J1625" i="1"/>
  <c r="I1625" i="1"/>
  <c r="H1625" i="1"/>
  <c r="L1624" i="1"/>
  <c r="K1624" i="1"/>
  <c r="J1624" i="1"/>
  <c r="I1624" i="1"/>
  <c r="H1624" i="1"/>
  <c r="L1623" i="1"/>
  <c r="K1623" i="1"/>
  <c r="J1623" i="1"/>
  <c r="I1623" i="1"/>
  <c r="H1623" i="1"/>
  <c r="L1622" i="1"/>
  <c r="K1622" i="1"/>
  <c r="J1622" i="1"/>
  <c r="I1622" i="1"/>
  <c r="H1622" i="1"/>
  <c r="L1621" i="1"/>
  <c r="K1621" i="1"/>
  <c r="J1621" i="1"/>
  <c r="I1621" i="1"/>
  <c r="H1621" i="1"/>
  <c r="L1620" i="1"/>
  <c r="K1620" i="1"/>
  <c r="J1620" i="1"/>
  <c r="I1620" i="1"/>
  <c r="H1620" i="1"/>
  <c r="L1619" i="1"/>
  <c r="K1619" i="1"/>
  <c r="J1619" i="1"/>
  <c r="I1619" i="1"/>
  <c r="H1619" i="1"/>
  <c r="L1618" i="1"/>
  <c r="K1618" i="1"/>
  <c r="J1618" i="1"/>
  <c r="I1618" i="1"/>
  <c r="H1618" i="1"/>
  <c r="L1617" i="1"/>
  <c r="K1617" i="1"/>
  <c r="J1617" i="1"/>
  <c r="I1617" i="1"/>
  <c r="H1617" i="1"/>
  <c r="L1616" i="1"/>
  <c r="K1616" i="1"/>
  <c r="J1616" i="1"/>
  <c r="I1616" i="1"/>
  <c r="H1616" i="1"/>
  <c r="L1615" i="1"/>
  <c r="K1615" i="1"/>
  <c r="J1615" i="1"/>
  <c r="I1615" i="1"/>
  <c r="H1615" i="1"/>
  <c r="L1614" i="1"/>
  <c r="K1614" i="1"/>
  <c r="J1614" i="1"/>
  <c r="I1614" i="1"/>
  <c r="H1614" i="1"/>
  <c r="L1613" i="1"/>
  <c r="K1613" i="1"/>
  <c r="J1613" i="1"/>
  <c r="I1613" i="1"/>
  <c r="H1613" i="1"/>
  <c r="L1612" i="1"/>
  <c r="K1612" i="1"/>
  <c r="J1612" i="1"/>
  <c r="I1612" i="1"/>
  <c r="H1612" i="1"/>
  <c r="L1611" i="1"/>
  <c r="K1611" i="1"/>
  <c r="J1611" i="1"/>
  <c r="I1611" i="1"/>
  <c r="H1611" i="1"/>
  <c r="L1610" i="1"/>
  <c r="K1610" i="1"/>
  <c r="J1610" i="1"/>
  <c r="I1610" i="1"/>
  <c r="H1610" i="1"/>
  <c r="L1609" i="1"/>
  <c r="K1609" i="1"/>
  <c r="J1609" i="1"/>
  <c r="I1609" i="1"/>
  <c r="H1609" i="1"/>
  <c r="L1608" i="1"/>
  <c r="K1608" i="1"/>
  <c r="J1608" i="1"/>
  <c r="I1608" i="1"/>
  <c r="H1608" i="1"/>
  <c r="L1607" i="1"/>
  <c r="K1607" i="1"/>
  <c r="J1607" i="1"/>
  <c r="I1607" i="1"/>
  <c r="H1607" i="1"/>
  <c r="L1606" i="1"/>
  <c r="K1606" i="1"/>
  <c r="J1606" i="1"/>
  <c r="I1606" i="1"/>
  <c r="H1606" i="1"/>
  <c r="L1605" i="1"/>
  <c r="K1605" i="1"/>
  <c r="J1605" i="1"/>
  <c r="I1605" i="1"/>
  <c r="H1605" i="1"/>
  <c r="L1604" i="1"/>
  <c r="K1604" i="1"/>
  <c r="J1604" i="1"/>
  <c r="I1604" i="1"/>
  <c r="H1604" i="1"/>
  <c r="L1603" i="1"/>
  <c r="K1603" i="1"/>
  <c r="J1603" i="1"/>
  <c r="I1603" i="1"/>
  <c r="H1603" i="1"/>
  <c r="L1602" i="1"/>
  <c r="K1602" i="1"/>
  <c r="J1602" i="1"/>
  <c r="I1602" i="1"/>
  <c r="H1602" i="1"/>
  <c r="L1601" i="1"/>
  <c r="K1601" i="1"/>
  <c r="J1601" i="1"/>
  <c r="I1601" i="1"/>
  <c r="H1601" i="1"/>
  <c r="L1600" i="1"/>
  <c r="K1600" i="1"/>
  <c r="J1600" i="1"/>
  <c r="I1600" i="1"/>
  <c r="H1600" i="1"/>
  <c r="L1599" i="1"/>
  <c r="K1599" i="1"/>
  <c r="J1599" i="1"/>
  <c r="I1599" i="1"/>
  <c r="H1599" i="1"/>
  <c r="L1598" i="1"/>
  <c r="K1598" i="1"/>
  <c r="J1598" i="1"/>
  <c r="I1598" i="1"/>
  <c r="H1598" i="1"/>
  <c r="L1597" i="1"/>
  <c r="K1597" i="1"/>
  <c r="J1597" i="1"/>
  <c r="I1597" i="1"/>
  <c r="H1597" i="1"/>
  <c r="L1596" i="1"/>
  <c r="K1596" i="1"/>
  <c r="J1596" i="1"/>
  <c r="I1596" i="1"/>
  <c r="H1596" i="1"/>
  <c r="L1595" i="1"/>
  <c r="K1595" i="1"/>
  <c r="J1595" i="1"/>
  <c r="I1595" i="1"/>
  <c r="H1595" i="1"/>
  <c r="L1594" i="1"/>
  <c r="K1594" i="1"/>
  <c r="J1594" i="1"/>
  <c r="I1594" i="1"/>
  <c r="H1594" i="1"/>
  <c r="L1593" i="1"/>
  <c r="K1593" i="1"/>
  <c r="J1593" i="1"/>
  <c r="I1593" i="1"/>
  <c r="H1593" i="1"/>
  <c r="L1592" i="1"/>
  <c r="K1592" i="1"/>
  <c r="J1592" i="1"/>
  <c r="I1592" i="1"/>
  <c r="H1592" i="1"/>
  <c r="L1591" i="1"/>
  <c r="K1591" i="1"/>
  <c r="J1591" i="1"/>
  <c r="I1591" i="1"/>
  <c r="H1591" i="1"/>
  <c r="L1590" i="1"/>
  <c r="K1590" i="1"/>
  <c r="J1590" i="1"/>
  <c r="I1590" i="1"/>
  <c r="H1590" i="1"/>
  <c r="L1589" i="1"/>
  <c r="K1589" i="1"/>
  <c r="J1589" i="1"/>
  <c r="I1589" i="1"/>
  <c r="H1589" i="1"/>
  <c r="L1588" i="1"/>
  <c r="K1588" i="1"/>
  <c r="J1588" i="1"/>
  <c r="I1588" i="1"/>
  <c r="H1588" i="1"/>
  <c r="L1587" i="1"/>
  <c r="K1587" i="1"/>
  <c r="J1587" i="1"/>
  <c r="I1587" i="1"/>
  <c r="H1587" i="1"/>
  <c r="L1586" i="1"/>
  <c r="K1586" i="1"/>
  <c r="J1586" i="1"/>
  <c r="I1586" i="1"/>
  <c r="H1586" i="1"/>
  <c r="L1585" i="1"/>
  <c r="K1585" i="1"/>
  <c r="J1585" i="1"/>
  <c r="I1585" i="1"/>
  <c r="H1585" i="1"/>
  <c r="L1584" i="1"/>
  <c r="K1584" i="1"/>
  <c r="J1584" i="1"/>
  <c r="I1584" i="1"/>
  <c r="H1584" i="1"/>
  <c r="L1583" i="1"/>
  <c r="K1583" i="1"/>
  <c r="J1583" i="1"/>
  <c r="I1583" i="1"/>
  <c r="H1583" i="1"/>
  <c r="L1582" i="1"/>
  <c r="K1582" i="1"/>
  <c r="J1582" i="1"/>
  <c r="I1582" i="1"/>
  <c r="H1582" i="1"/>
  <c r="L1581" i="1"/>
  <c r="K1581" i="1"/>
  <c r="J1581" i="1"/>
  <c r="I1581" i="1"/>
  <c r="H1581" i="1"/>
  <c r="L1580" i="1"/>
  <c r="K1580" i="1"/>
  <c r="J1580" i="1"/>
  <c r="I1580" i="1"/>
  <c r="H1580" i="1"/>
  <c r="L1579" i="1"/>
  <c r="K1579" i="1"/>
  <c r="J1579" i="1"/>
  <c r="I1579" i="1"/>
  <c r="H1579" i="1"/>
  <c r="L1578" i="1"/>
  <c r="K1578" i="1"/>
  <c r="J1578" i="1"/>
  <c r="I1578" i="1"/>
  <c r="H1578" i="1"/>
  <c r="L1577" i="1"/>
  <c r="K1577" i="1"/>
  <c r="J1577" i="1"/>
  <c r="I1577" i="1"/>
  <c r="H1577" i="1"/>
  <c r="L1576" i="1"/>
  <c r="K1576" i="1"/>
  <c r="J1576" i="1"/>
  <c r="I1576" i="1"/>
  <c r="H1576" i="1"/>
  <c r="L1575" i="1"/>
  <c r="K1575" i="1"/>
  <c r="J1575" i="1"/>
  <c r="I1575" i="1"/>
  <c r="H1575" i="1"/>
  <c r="L1574" i="1"/>
  <c r="K1574" i="1"/>
  <c r="J1574" i="1"/>
  <c r="I1574" i="1"/>
  <c r="H1574" i="1"/>
  <c r="L1573" i="1"/>
  <c r="K1573" i="1"/>
  <c r="J1573" i="1"/>
  <c r="I1573" i="1"/>
  <c r="H1573" i="1"/>
  <c r="L1572" i="1"/>
  <c r="K1572" i="1"/>
  <c r="J1572" i="1"/>
  <c r="I1572" i="1"/>
  <c r="H1572" i="1"/>
  <c r="L1571" i="1"/>
  <c r="K1571" i="1"/>
  <c r="J1571" i="1"/>
  <c r="I1571" i="1"/>
  <c r="H1571" i="1"/>
  <c r="L1570" i="1"/>
  <c r="K1570" i="1"/>
  <c r="J1570" i="1"/>
  <c r="I1570" i="1"/>
  <c r="H1570" i="1"/>
  <c r="L1569" i="1"/>
  <c r="K1569" i="1"/>
  <c r="J1569" i="1"/>
  <c r="I1569" i="1"/>
  <c r="H1569" i="1"/>
  <c r="L1568" i="1"/>
  <c r="K1568" i="1"/>
  <c r="J1568" i="1"/>
  <c r="I1568" i="1"/>
  <c r="H1568" i="1"/>
  <c r="L1567" i="1"/>
  <c r="K1567" i="1"/>
  <c r="J1567" i="1"/>
  <c r="I1567" i="1"/>
  <c r="H1567" i="1"/>
  <c r="L1566" i="1"/>
  <c r="K1566" i="1"/>
  <c r="J1566" i="1"/>
  <c r="I1566" i="1"/>
  <c r="H1566" i="1"/>
  <c r="L1565" i="1"/>
  <c r="K1565" i="1"/>
  <c r="J1565" i="1"/>
  <c r="I1565" i="1"/>
  <c r="H1565" i="1"/>
  <c r="L1564" i="1"/>
  <c r="K1564" i="1"/>
  <c r="J1564" i="1"/>
  <c r="I1564" i="1"/>
  <c r="H1564" i="1"/>
  <c r="L1563" i="1"/>
  <c r="K1563" i="1"/>
  <c r="J1563" i="1"/>
  <c r="I1563" i="1"/>
  <c r="H1563" i="1"/>
  <c r="L1562" i="1"/>
  <c r="K1562" i="1"/>
  <c r="J1562" i="1"/>
  <c r="I1562" i="1"/>
  <c r="H1562" i="1"/>
  <c r="L1561" i="1"/>
  <c r="K1561" i="1"/>
  <c r="J1561" i="1"/>
  <c r="I1561" i="1"/>
  <c r="H1561" i="1"/>
  <c r="L1560" i="1"/>
  <c r="K1560" i="1"/>
  <c r="J1560" i="1"/>
  <c r="I1560" i="1"/>
  <c r="H1560" i="1"/>
  <c r="L1559" i="1"/>
  <c r="K1559" i="1"/>
  <c r="J1559" i="1"/>
  <c r="I1559" i="1"/>
  <c r="H1559" i="1"/>
  <c r="L1558" i="1"/>
  <c r="K1558" i="1"/>
  <c r="J1558" i="1"/>
  <c r="I1558" i="1"/>
  <c r="H1558" i="1"/>
  <c r="L1557" i="1"/>
  <c r="K1557" i="1"/>
  <c r="J1557" i="1"/>
  <c r="I1557" i="1"/>
  <c r="H1557" i="1"/>
  <c r="L1556" i="1"/>
  <c r="K1556" i="1"/>
  <c r="J1556" i="1"/>
  <c r="I1556" i="1"/>
  <c r="H1556" i="1"/>
  <c r="L1555" i="1"/>
  <c r="K1555" i="1"/>
  <c r="J1555" i="1"/>
  <c r="I1555" i="1"/>
  <c r="H1555" i="1"/>
  <c r="L1554" i="1"/>
  <c r="K1554" i="1"/>
  <c r="J1554" i="1"/>
  <c r="I1554" i="1"/>
  <c r="H1554" i="1"/>
  <c r="L1553" i="1"/>
  <c r="K1553" i="1"/>
  <c r="J1553" i="1"/>
  <c r="I1553" i="1"/>
  <c r="H1553" i="1"/>
  <c r="L1552" i="1"/>
  <c r="K1552" i="1"/>
  <c r="J1552" i="1"/>
  <c r="I1552" i="1"/>
  <c r="H1552" i="1"/>
  <c r="L1551" i="1"/>
  <c r="K1551" i="1"/>
  <c r="J1551" i="1"/>
  <c r="I1551" i="1"/>
  <c r="H1551" i="1"/>
  <c r="L1550" i="1"/>
  <c r="K1550" i="1"/>
  <c r="J1550" i="1"/>
  <c r="I1550" i="1"/>
  <c r="H1550" i="1"/>
  <c r="L1549" i="1"/>
  <c r="K1549" i="1"/>
  <c r="J1549" i="1"/>
  <c r="I1549" i="1"/>
  <c r="H1549" i="1"/>
  <c r="L1548" i="1"/>
  <c r="K1548" i="1"/>
  <c r="J1548" i="1"/>
  <c r="I1548" i="1"/>
  <c r="H1548" i="1"/>
  <c r="L1547" i="1"/>
  <c r="K1547" i="1"/>
  <c r="J1547" i="1"/>
  <c r="I1547" i="1"/>
  <c r="H1547" i="1"/>
  <c r="L1546" i="1"/>
  <c r="K1546" i="1"/>
  <c r="J1546" i="1"/>
  <c r="I1546" i="1"/>
  <c r="H1546" i="1"/>
  <c r="L1545" i="1"/>
  <c r="K1545" i="1"/>
  <c r="J1545" i="1"/>
  <c r="I1545" i="1"/>
  <c r="H1545" i="1"/>
  <c r="L1544" i="1"/>
  <c r="K1544" i="1"/>
  <c r="J1544" i="1"/>
  <c r="I1544" i="1"/>
  <c r="H1544" i="1"/>
  <c r="L1543" i="1"/>
  <c r="K1543" i="1"/>
  <c r="J1543" i="1"/>
  <c r="I1543" i="1"/>
  <c r="H1543" i="1"/>
  <c r="L1542" i="1"/>
  <c r="K1542" i="1"/>
  <c r="J1542" i="1"/>
  <c r="I1542" i="1"/>
  <c r="H1542" i="1"/>
  <c r="L1541" i="1"/>
  <c r="K1541" i="1"/>
  <c r="J1541" i="1"/>
  <c r="I1541" i="1"/>
  <c r="H1541" i="1"/>
  <c r="L1540" i="1"/>
  <c r="K1540" i="1"/>
  <c r="J1540" i="1"/>
  <c r="I1540" i="1"/>
  <c r="H1540" i="1"/>
  <c r="L1539" i="1"/>
  <c r="K1539" i="1"/>
  <c r="J1539" i="1"/>
  <c r="I1539" i="1"/>
  <c r="H1539" i="1"/>
  <c r="L1538" i="1"/>
  <c r="K1538" i="1"/>
  <c r="J1538" i="1"/>
  <c r="I1538" i="1"/>
  <c r="H1538" i="1"/>
  <c r="L1537" i="1"/>
  <c r="K1537" i="1"/>
  <c r="J1537" i="1"/>
  <c r="I1537" i="1"/>
  <c r="H1537" i="1"/>
  <c r="L1536" i="1"/>
  <c r="K1536" i="1"/>
  <c r="J1536" i="1"/>
  <c r="I1536" i="1"/>
  <c r="H1536" i="1"/>
  <c r="L1535" i="1"/>
  <c r="K1535" i="1"/>
  <c r="J1535" i="1"/>
  <c r="I1535" i="1"/>
  <c r="H1535" i="1"/>
  <c r="L1534" i="1"/>
  <c r="K1534" i="1"/>
  <c r="J1534" i="1"/>
  <c r="I1534" i="1"/>
  <c r="H1534" i="1"/>
  <c r="L1533" i="1"/>
  <c r="K1533" i="1"/>
  <c r="J1533" i="1"/>
  <c r="I1533" i="1"/>
  <c r="H1533" i="1"/>
  <c r="L1532" i="1"/>
  <c r="K1532" i="1"/>
  <c r="J1532" i="1"/>
  <c r="I1532" i="1"/>
  <c r="H1532" i="1"/>
  <c r="L1531" i="1"/>
  <c r="K1531" i="1"/>
  <c r="J1531" i="1"/>
  <c r="I1531" i="1"/>
  <c r="H1531" i="1"/>
  <c r="L1530" i="1"/>
  <c r="K1530" i="1"/>
  <c r="J1530" i="1"/>
  <c r="I1530" i="1"/>
  <c r="H1530" i="1"/>
  <c r="L1529" i="1"/>
  <c r="K1529" i="1"/>
  <c r="J1529" i="1"/>
  <c r="I1529" i="1"/>
  <c r="H1529" i="1"/>
  <c r="L1528" i="1"/>
  <c r="K1528" i="1"/>
  <c r="J1528" i="1"/>
  <c r="I1528" i="1"/>
  <c r="H1528" i="1"/>
  <c r="L1527" i="1"/>
  <c r="K1527" i="1"/>
  <c r="J1527" i="1"/>
  <c r="I1527" i="1"/>
  <c r="H1527" i="1"/>
  <c r="L1526" i="1"/>
  <c r="K1526" i="1"/>
  <c r="J1526" i="1"/>
  <c r="I1526" i="1"/>
  <c r="H1526" i="1"/>
  <c r="L1525" i="1"/>
  <c r="K1525" i="1"/>
  <c r="J1525" i="1"/>
  <c r="I1525" i="1"/>
  <c r="H1525" i="1"/>
  <c r="L1524" i="1"/>
  <c r="K1524" i="1"/>
  <c r="J1524" i="1"/>
  <c r="I1524" i="1"/>
  <c r="H1524" i="1"/>
  <c r="L1523" i="1"/>
  <c r="K1523" i="1"/>
  <c r="J1523" i="1"/>
  <c r="I1523" i="1"/>
  <c r="H1523" i="1"/>
  <c r="L1522" i="1"/>
  <c r="K1522" i="1"/>
  <c r="J1522" i="1"/>
  <c r="I1522" i="1"/>
  <c r="H1522" i="1"/>
  <c r="L1521" i="1"/>
  <c r="K1521" i="1"/>
  <c r="J1521" i="1"/>
  <c r="I1521" i="1"/>
  <c r="H1521" i="1"/>
  <c r="L1520" i="1"/>
  <c r="K1520" i="1"/>
  <c r="J1520" i="1"/>
  <c r="I1520" i="1"/>
  <c r="H1520" i="1"/>
  <c r="L1519" i="1"/>
  <c r="K1519" i="1"/>
  <c r="J1519" i="1"/>
  <c r="I1519" i="1"/>
  <c r="H1519" i="1"/>
  <c r="L1518" i="1"/>
  <c r="K1518" i="1"/>
  <c r="J1518" i="1"/>
  <c r="I1518" i="1"/>
  <c r="H1518" i="1"/>
  <c r="L1517" i="1"/>
  <c r="K1517" i="1"/>
  <c r="J1517" i="1"/>
  <c r="I1517" i="1"/>
  <c r="H1517" i="1"/>
  <c r="L1516" i="1"/>
  <c r="K1516" i="1"/>
  <c r="J1516" i="1"/>
  <c r="I1516" i="1"/>
  <c r="H1516" i="1"/>
  <c r="L1515" i="1"/>
  <c r="K1515" i="1"/>
  <c r="J1515" i="1"/>
  <c r="I1515" i="1"/>
  <c r="H1515" i="1"/>
  <c r="L1514" i="1"/>
  <c r="K1514" i="1"/>
  <c r="J1514" i="1"/>
  <c r="I1514" i="1"/>
  <c r="H1514" i="1"/>
  <c r="L1513" i="1"/>
  <c r="K1513" i="1"/>
  <c r="J1513" i="1"/>
  <c r="I1513" i="1"/>
  <c r="H1513" i="1"/>
  <c r="L1512" i="1"/>
  <c r="K1512" i="1"/>
  <c r="J1512" i="1"/>
  <c r="I1512" i="1"/>
  <c r="H1512" i="1"/>
  <c r="L1511" i="1"/>
  <c r="K1511" i="1"/>
  <c r="J1511" i="1"/>
  <c r="I1511" i="1"/>
  <c r="H1511" i="1"/>
  <c r="L1510" i="1"/>
  <c r="K1510" i="1"/>
  <c r="J1510" i="1"/>
  <c r="I1510" i="1"/>
  <c r="H1510" i="1"/>
  <c r="L1509" i="1"/>
  <c r="K1509" i="1"/>
  <c r="J1509" i="1"/>
  <c r="I1509" i="1"/>
  <c r="H1509" i="1"/>
  <c r="L1508" i="1"/>
  <c r="K1508" i="1"/>
  <c r="J1508" i="1"/>
  <c r="I1508" i="1"/>
  <c r="H1508" i="1"/>
  <c r="L1507" i="1"/>
  <c r="K1507" i="1"/>
  <c r="J1507" i="1"/>
  <c r="I1507" i="1"/>
  <c r="H1507" i="1"/>
  <c r="L1506" i="1"/>
  <c r="K1506" i="1"/>
  <c r="J1506" i="1"/>
  <c r="I1506" i="1"/>
  <c r="H1506" i="1"/>
  <c r="L1505" i="1"/>
  <c r="K1505" i="1"/>
  <c r="J1505" i="1"/>
  <c r="I1505" i="1"/>
  <c r="H1505" i="1"/>
  <c r="L1504" i="1"/>
  <c r="K1504" i="1"/>
  <c r="J1504" i="1"/>
  <c r="I1504" i="1"/>
  <c r="H1504" i="1"/>
  <c r="L1503" i="1"/>
  <c r="K1503" i="1"/>
  <c r="J1503" i="1"/>
  <c r="I1503" i="1"/>
  <c r="H1503" i="1"/>
  <c r="L1502" i="1"/>
  <c r="K1502" i="1"/>
  <c r="J1502" i="1"/>
  <c r="I1502" i="1"/>
  <c r="H1502" i="1"/>
  <c r="L1501" i="1"/>
  <c r="K1501" i="1"/>
  <c r="J1501" i="1"/>
  <c r="I1501" i="1"/>
  <c r="H1501" i="1"/>
  <c r="L1500" i="1"/>
  <c r="K1500" i="1"/>
  <c r="J1500" i="1"/>
  <c r="I1500" i="1"/>
  <c r="H1500" i="1"/>
  <c r="L1499" i="1"/>
  <c r="K1499" i="1"/>
  <c r="J1499" i="1"/>
  <c r="I1499" i="1"/>
  <c r="H1499" i="1"/>
  <c r="L1498" i="1"/>
  <c r="K1498" i="1"/>
  <c r="J1498" i="1"/>
  <c r="I1498" i="1"/>
  <c r="H1498" i="1"/>
  <c r="L1497" i="1"/>
  <c r="K1497" i="1"/>
  <c r="J1497" i="1"/>
  <c r="I1497" i="1"/>
  <c r="H1497" i="1"/>
  <c r="L1496" i="1"/>
  <c r="K1496" i="1"/>
  <c r="J1496" i="1"/>
  <c r="I1496" i="1"/>
  <c r="H1496" i="1"/>
  <c r="L1495" i="1"/>
  <c r="K1495" i="1"/>
  <c r="J1495" i="1"/>
  <c r="I1495" i="1"/>
  <c r="H1495" i="1"/>
  <c r="L1494" i="1"/>
  <c r="K1494" i="1"/>
  <c r="J1494" i="1"/>
  <c r="I1494" i="1"/>
  <c r="H1494" i="1"/>
  <c r="L1493" i="1"/>
  <c r="K1493" i="1"/>
  <c r="J1493" i="1"/>
  <c r="I1493" i="1"/>
  <c r="H1493" i="1"/>
  <c r="L1492" i="1"/>
  <c r="K1492" i="1"/>
  <c r="J1492" i="1"/>
  <c r="I1492" i="1"/>
  <c r="H1492" i="1"/>
  <c r="L1491" i="1"/>
  <c r="K1491" i="1"/>
  <c r="J1491" i="1"/>
  <c r="I1491" i="1"/>
  <c r="H1491" i="1"/>
  <c r="L1490" i="1"/>
  <c r="K1490" i="1"/>
  <c r="J1490" i="1"/>
  <c r="I1490" i="1"/>
  <c r="H1490" i="1"/>
  <c r="L1489" i="1"/>
  <c r="K1489" i="1"/>
  <c r="J1489" i="1"/>
  <c r="I1489" i="1"/>
  <c r="H1489" i="1"/>
  <c r="L1488" i="1"/>
  <c r="K1488" i="1"/>
  <c r="J1488" i="1"/>
  <c r="I1488" i="1"/>
  <c r="H1488" i="1"/>
  <c r="L1487" i="1"/>
  <c r="K1487" i="1"/>
  <c r="J1487" i="1"/>
  <c r="I1487" i="1"/>
  <c r="H1487" i="1"/>
  <c r="L1486" i="1"/>
  <c r="K1486" i="1"/>
  <c r="J1486" i="1"/>
  <c r="I1486" i="1"/>
  <c r="H1486" i="1"/>
  <c r="L1485" i="1"/>
  <c r="K1485" i="1"/>
  <c r="J1485" i="1"/>
  <c r="I1485" i="1"/>
  <c r="H1485" i="1"/>
  <c r="L1484" i="1"/>
  <c r="K1484" i="1"/>
  <c r="J1484" i="1"/>
  <c r="I1484" i="1"/>
  <c r="H1484" i="1"/>
  <c r="L1483" i="1"/>
  <c r="K1483" i="1"/>
  <c r="J1483" i="1"/>
  <c r="I1483" i="1"/>
  <c r="H1483" i="1"/>
  <c r="L1482" i="1"/>
  <c r="K1482" i="1"/>
  <c r="J1482" i="1"/>
  <c r="I1482" i="1"/>
  <c r="H1482" i="1"/>
  <c r="L1481" i="1"/>
  <c r="K1481" i="1"/>
  <c r="J1481" i="1"/>
  <c r="I1481" i="1"/>
  <c r="H1481" i="1"/>
  <c r="L1480" i="1"/>
  <c r="K1480" i="1"/>
  <c r="J1480" i="1"/>
  <c r="I1480" i="1"/>
  <c r="H1480" i="1"/>
  <c r="L1479" i="1"/>
  <c r="K1479" i="1"/>
  <c r="J1479" i="1"/>
  <c r="I1479" i="1"/>
  <c r="H1479" i="1"/>
  <c r="L1478" i="1"/>
  <c r="K1478" i="1"/>
  <c r="J1478" i="1"/>
  <c r="I1478" i="1"/>
  <c r="H1478" i="1"/>
  <c r="L1477" i="1"/>
  <c r="K1477" i="1"/>
  <c r="J1477" i="1"/>
  <c r="I1477" i="1"/>
  <c r="H1477" i="1"/>
  <c r="L1476" i="1"/>
  <c r="K1476" i="1"/>
  <c r="J1476" i="1"/>
  <c r="I1476" i="1"/>
  <c r="H1476" i="1"/>
  <c r="L1475" i="1"/>
  <c r="K1475" i="1"/>
  <c r="J1475" i="1"/>
  <c r="I1475" i="1"/>
  <c r="H1475" i="1"/>
  <c r="L1474" i="1"/>
  <c r="K1474" i="1"/>
  <c r="J1474" i="1"/>
  <c r="I1474" i="1"/>
  <c r="H1474" i="1"/>
  <c r="L1473" i="1"/>
  <c r="K1473" i="1"/>
  <c r="J1473" i="1"/>
  <c r="I1473" i="1"/>
  <c r="H1473" i="1"/>
  <c r="L1472" i="1"/>
  <c r="K1472" i="1"/>
  <c r="J1472" i="1"/>
  <c r="I1472" i="1"/>
  <c r="H1472" i="1"/>
  <c r="L1471" i="1"/>
  <c r="K1471" i="1"/>
  <c r="J1471" i="1"/>
  <c r="I1471" i="1"/>
  <c r="H1471" i="1"/>
  <c r="L1470" i="1"/>
  <c r="K1470" i="1"/>
  <c r="J1470" i="1"/>
  <c r="I1470" i="1"/>
  <c r="H1470" i="1"/>
  <c r="L1469" i="1"/>
  <c r="K1469" i="1"/>
  <c r="J1469" i="1"/>
  <c r="I1469" i="1"/>
  <c r="H1469" i="1"/>
  <c r="L1468" i="1"/>
  <c r="K1468" i="1"/>
  <c r="J1468" i="1"/>
  <c r="I1468" i="1"/>
  <c r="H1468" i="1"/>
  <c r="L1467" i="1"/>
  <c r="K1467" i="1"/>
  <c r="J1467" i="1"/>
  <c r="I1467" i="1"/>
  <c r="H1467" i="1"/>
  <c r="L1466" i="1"/>
  <c r="K1466" i="1"/>
  <c r="J1466" i="1"/>
  <c r="I1466" i="1"/>
  <c r="H1466" i="1"/>
  <c r="L1465" i="1"/>
  <c r="K1465" i="1"/>
  <c r="J1465" i="1"/>
  <c r="I1465" i="1"/>
  <c r="H1465" i="1"/>
  <c r="L1464" i="1"/>
  <c r="K1464" i="1"/>
  <c r="J1464" i="1"/>
  <c r="I1464" i="1"/>
  <c r="H1464" i="1"/>
  <c r="L1463" i="1"/>
  <c r="K1463" i="1"/>
  <c r="J1463" i="1"/>
  <c r="I1463" i="1"/>
  <c r="H1463" i="1"/>
  <c r="L1462" i="1"/>
  <c r="K1462" i="1"/>
  <c r="J1462" i="1"/>
  <c r="I1462" i="1"/>
  <c r="H1462" i="1"/>
  <c r="L1461" i="1"/>
  <c r="K1461" i="1"/>
  <c r="J1461" i="1"/>
  <c r="I1461" i="1"/>
  <c r="H1461" i="1"/>
  <c r="L1460" i="1"/>
  <c r="K1460" i="1"/>
  <c r="J1460" i="1"/>
  <c r="I1460" i="1"/>
  <c r="H1460" i="1"/>
  <c r="L1459" i="1"/>
  <c r="K1459" i="1"/>
  <c r="J1459" i="1"/>
  <c r="I1459" i="1"/>
  <c r="H1459" i="1"/>
  <c r="L1458" i="1"/>
  <c r="K1458" i="1"/>
  <c r="J1458" i="1"/>
  <c r="I1458" i="1"/>
  <c r="H1458" i="1"/>
  <c r="L1457" i="1"/>
  <c r="K1457" i="1"/>
  <c r="J1457" i="1"/>
  <c r="I1457" i="1"/>
  <c r="H1457" i="1"/>
  <c r="L1456" i="1"/>
  <c r="K1456" i="1"/>
  <c r="J1456" i="1"/>
  <c r="I1456" i="1"/>
  <c r="H1456" i="1"/>
  <c r="L1455" i="1"/>
  <c r="K1455" i="1"/>
  <c r="J1455" i="1"/>
  <c r="I1455" i="1"/>
  <c r="H1455" i="1"/>
  <c r="L1454" i="1"/>
  <c r="K1454" i="1"/>
  <c r="J1454" i="1"/>
  <c r="I1454" i="1"/>
  <c r="H1454" i="1"/>
  <c r="L1453" i="1"/>
  <c r="K1453" i="1"/>
  <c r="J1453" i="1"/>
  <c r="I1453" i="1"/>
  <c r="H1453" i="1"/>
  <c r="L1452" i="1"/>
  <c r="K1452" i="1"/>
  <c r="J1452" i="1"/>
  <c r="I1452" i="1"/>
  <c r="H1452" i="1"/>
  <c r="L1451" i="1"/>
  <c r="K1451" i="1"/>
  <c r="J1451" i="1"/>
  <c r="I1451" i="1"/>
  <c r="H1451" i="1"/>
  <c r="L1450" i="1"/>
  <c r="K1450" i="1"/>
  <c r="J1450" i="1"/>
  <c r="I1450" i="1"/>
  <c r="H1450" i="1"/>
  <c r="L1449" i="1"/>
  <c r="K1449" i="1"/>
  <c r="J1449" i="1"/>
  <c r="I1449" i="1"/>
  <c r="H1449" i="1"/>
  <c r="L1448" i="1"/>
  <c r="K1448" i="1"/>
  <c r="J1448" i="1"/>
  <c r="I1448" i="1"/>
  <c r="H1448" i="1"/>
  <c r="L1447" i="1"/>
  <c r="K1447" i="1"/>
  <c r="J1447" i="1"/>
  <c r="I1447" i="1"/>
  <c r="H1447" i="1"/>
  <c r="L1446" i="1"/>
  <c r="K1446" i="1"/>
  <c r="J1446" i="1"/>
  <c r="I1446" i="1"/>
  <c r="H1446" i="1"/>
  <c r="L1445" i="1"/>
  <c r="K1445" i="1"/>
  <c r="J1445" i="1"/>
  <c r="I1445" i="1"/>
  <c r="H1445" i="1"/>
  <c r="L1444" i="1"/>
  <c r="K1444" i="1"/>
  <c r="J1444" i="1"/>
  <c r="I1444" i="1"/>
  <c r="H1444" i="1"/>
  <c r="L1443" i="1"/>
  <c r="K1443" i="1"/>
  <c r="J1443" i="1"/>
  <c r="I1443" i="1"/>
  <c r="H1443" i="1"/>
  <c r="L1442" i="1"/>
  <c r="K1442" i="1"/>
  <c r="J1442" i="1"/>
  <c r="I1442" i="1"/>
  <c r="H1442" i="1"/>
  <c r="L1441" i="1"/>
  <c r="K1441" i="1"/>
  <c r="J1441" i="1"/>
  <c r="I1441" i="1"/>
  <c r="H1441" i="1"/>
  <c r="L1440" i="1"/>
  <c r="K1440" i="1"/>
  <c r="J1440" i="1"/>
  <c r="I1440" i="1"/>
  <c r="H1440" i="1"/>
  <c r="L1439" i="1"/>
  <c r="K1439" i="1"/>
  <c r="J1439" i="1"/>
  <c r="I1439" i="1"/>
  <c r="H1439" i="1"/>
  <c r="L1438" i="1"/>
  <c r="K1438" i="1"/>
  <c r="J1438" i="1"/>
  <c r="I1438" i="1"/>
  <c r="H1438" i="1"/>
  <c r="L1437" i="1"/>
  <c r="K1437" i="1"/>
  <c r="J1437" i="1"/>
  <c r="I1437" i="1"/>
  <c r="H1437" i="1"/>
  <c r="L1436" i="1"/>
  <c r="K1436" i="1"/>
  <c r="J1436" i="1"/>
  <c r="I1436" i="1"/>
  <c r="H1436" i="1"/>
  <c r="L1435" i="1"/>
  <c r="K1435" i="1"/>
  <c r="J1435" i="1"/>
  <c r="I1435" i="1"/>
  <c r="H1435" i="1"/>
  <c r="L1434" i="1"/>
  <c r="K1434" i="1"/>
  <c r="J1434" i="1"/>
  <c r="I1434" i="1"/>
  <c r="H1434" i="1"/>
  <c r="L1433" i="1"/>
  <c r="K1433" i="1"/>
  <c r="J1433" i="1"/>
  <c r="I1433" i="1"/>
  <c r="H1433" i="1"/>
  <c r="L1432" i="1"/>
  <c r="K1432" i="1"/>
  <c r="J1432" i="1"/>
  <c r="I1432" i="1"/>
  <c r="H1432" i="1"/>
  <c r="L1431" i="1"/>
  <c r="K1431" i="1"/>
  <c r="J1431" i="1"/>
  <c r="I1431" i="1"/>
  <c r="H1431" i="1"/>
  <c r="L1430" i="1"/>
  <c r="K1430" i="1"/>
  <c r="J1430" i="1"/>
  <c r="I1430" i="1"/>
  <c r="H1430" i="1"/>
  <c r="L1429" i="1"/>
  <c r="K1429" i="1"/>
  <c r="J1429" i="1"/>
  <c r="I1429" i="1"/>
  <c r="H1429" i="1"/>
  <c r="L1428" i="1"/>
  <c r="K1428" i="1"/>
  <c r="J1428" i="1"/>
  <c r="I1428" i="1"/>
  <c r="H1428" i="1"/>
  <c r="L1427" i="1"/>
  <c r="K1427" i="1"/>
  <c r="J1427" i="1"/>
  <c r="I1427" i="1"/>
  <c r="H1427" i="1"/>
  <c r="L1426" i="1"/>
  <c r="K1426" i="1"/>
  <c r="J1426" i="1"/>
  <c r="I1426" i="1"/>
  <c r="H1426" i="1"/>
  <c r="L1425" i="1"/>
  <c r="K1425" i="1"/>
  <c r="J1425" i="1"/>
  <c r="I1425" i="1"/>
  <c r="H1425" i="1"/>
  <c r="L1424" i="1"/>
  <c r="K1424" i="1"/>
  <c r="J1424" i="1"/>
  <c r="I1424" i="1"/>
  <c r="H1424" i="1"/>
  <c r="L1423" i="1"/>
  <c r="K1423" i="1"/>
  <c r="J1423" i="1"/>
  <c r="I1423" i="1"/>
  <c r="H1423" i="1"/>
  <c r="L1422" i="1"/>
  <c r="K1422" i="1"/>
  <c r="J1422" i="1"/>
  <c r="I1422" i="1"/>
  <c r="H1422" i="1"/>
  <c r="L1421" i="1"/>
  <c r="K1421" i="1"/>
  <c r="J1421" i="1"/>
  <c r="I1421" i="1"/>
  <c r="H1421" i="1"/>
  <c r="L1420" i="1"/>
  <c r="K1420" i="1"/>
  <c r="J1420" i="1"/>
  <c r="I1420" i="1"/>
  <c r="H1420" i="1"/>
  <c r="L1419" i="1"/>
  <c r="K1419" i="1"/>
  <c r="J1419" i="1"/>
  <c r="I1419" i="1"/>
  <c r="H1419" i="1"/>
  <c r="L1418" i="1"/>
  <c r="K1418" i="1"/>
  <c r="J1418" i="1"/>
  <c r="I1418" i="1"/>
  <c r="H1418" i="1"/>
  <c r="L1417" i="1"/>
  <c r="K1417" i="1"/>
  <c r="J1417" i="1"/>
  <c r="I1417" i="1"/>
  <c r="H1417" i="1"/>
  <c r="L1416" i="1"/>
  <c r="K1416" i="1"/>
  <c r="J1416" i="1"/>
  <c r="I1416" i="1"/>
  <c r="H1416" i="1"/>
  <c r="L1415" i="1"/>
  <c r="K1415" i="1"/>
  <c r="J1415" i="1"/>
  <c r="I1415" i="1"/>
  <c r="H1415" i="1"/>
  <c r="L1414" i="1"/>
  <c r="K1414" i="1"/>
  <c r="J1414" i="1"/>
  <c r="I1414" i="1"/>
  <c r="H1414" i="1"/>
  <c r="L1413" i="1"/>
  <c r="K1413" i="1"/>
  <c r="J1413" i="1"/>
  <c r="I1413" i="1"/>
  <c r="H1413" i="1"/>
  <c r="L1412" i="1"/>
  <c r="K1412" i="1"/>
  <c r="J1412" i="1"/>
  <c r="I1412" i="1"/>
  <c r="H1412" i="1"/>
  <c r="L1411" i="1"/>
  <c r="K1411" i="1"/>
  <c r="J1411" i="1"/>
  <c r="I1411" i="1"/>
  <c r="H1411" i="1"/>
  <c r="L1410" i="1"/>
  <c r="K1410" i="1"/>
  <c r="J1410" i="1"/>
  <c r="I1410" i="1"/>
  <c r="H1410" i="1"/>
  <c r="L1409" i="1"/>
  <c r="K1409" i="1"/>
  <c r="J1409" i="1"/>
  <c r="I1409" i="1"/>
  <c r="H1409" i="1"/>
  <c r="L1408" i="1"/>
  <c r="K1408" i="1"/>
  <c r="J1408" i="1"/>
  <c r="I1408" i="1"/>
  <c r="H1408" i="1"/>
  <c r="L1407" i="1"/>
  <c r="K1407" i="1"/>
  <c r="J1407" i="1"/>
  <c r="I1407" i="1"/>
  <c r="H1407" i="1"/>
  <c r="L1406" i="1"/>
  <c r="K1406" i="1"/>
  <c r="J1406" i="1"/>
  <c r="I1406" i="1"/>
  <c r="H1406" i="1"/>
  <c r="L1405" i="1"/>
  <c r="K1405" i="1"/>
  <c r="J1405" i="1"/>
  <c r="I1405" i="1"/>
  <c r="H1405" i="1"/>
  <c r="L1404" i="1"/>
  <c r="K1404" i="1"/>
  <c r="J1404" i="1"/>
  <c r="I1404" i="1"/>
  <c r="H1404" i="1"/>
  <c r="L1403" i="1"/>
  <c r="K1403" i="1"/>
  <c r="J1403" i="1"/>
  <c r="I1403" i="1"/>
  <c r="H1403" i="1"/>
  <c r="L1402" i="1"/>
  <c r="K1402" i="1"/>
  <c r="J1402" i="1"/>
  <c r="I1402" i="1"/>
  <c r="H1402" i="1"/>
  <c r="L1401" i="1"/>
  <c r="K1401" i="1"/>
  <c r="J1401" i="1"/>
  <c r="I1401" i="1"/>
  <c r="H1401" i="1"/>
  <c r="L1400" i="1"/>
  <c r="K1400" i="1"/>
  <c r="J1400" i="1"/>
  <c r="I1400" i="1"/>
  <c r="H1400" i="1"/>
  <c r="L1399" i="1"/>
  <c r="K1399" i="1"/>
  <c r="J1399" i="1"/>
  <c r="I1399" i="1"/>
  <c r="H1399" i="1"/>
  <c r="L1398" i="1"/>
  <c r="K1398" i="1"/>
  <c r="J1398" i="1"/>
  <c r="I1398" i="1"/>
  <c r="H1398" i="1"/>
  <c r="L1397" i="1"/>
  <c r="K1397" i="1"/>
  <c r="J1397" i="1"/>
  <c r="I1397" i="1"/>
  <c r="H1397" i="1"/>
  <c r="L1396" i="1"/>
  <c r="K1396" i="1"/>
  <c r="J1396" i="1"/>
  <c r="I1396" i="1"/>
  <c r="H1396" i="1"/>
  <c r="L1395" i="1"/>
  <c r="K1395" i="1"/>
  <c r="J1395" i="1"/>
  <c r="I1395" i="1"/>
  <c r="H1395" i="1"/>
  <c r="L1394" i="1"/>
  <c r="K1394" i="1"/>
  <c r="J1394" i="1"/>
  <c r="I1394" i="1"/>
  <c r="H1394" i="1"/>
  <c r="L1393" i="1"/>
  <c r="K1393" i="1"/>
  <c r="J1393" i="1"/>
  <c r="I1393" i="1"/>
  <c r="H1393" i="1"/>
  <c r="L1392" i="1"/>
  <c r="K1392" i="1"/>
  <c r="J1392" i="1"/>
  <c r="I1392" i="1"/>
  <c r="H1392" i="1"/>
  <c r="L1391" i="1"/>
  <c r="K1391" i="1"/>
  <c r="J1391" i="1"/>
  <c r="I1391" i="1"/>
  <c r="H1391" i="1"/>
  <c r="L1390" i="1"/>
  <c r="K1390" i="1"/>
  <c r="J1390" i="1"/>
  <c r="I1390" i="1"/>
  <c r="H1390" i="1"/>
  <c r="L1389" i="1"/>
  <c r="K1389" i="1"/>
  <c r="J1389" i="1"/>
  <c r="I1389" i="1"/>
  <c r="H1389" i="1"/>
  <c r="L1388" i="1"/>
  <c r="K1388" i="1"/>
  <c r="J1388" i="1"/>
  <c r="I1388" i="1"/>
  <c r="H1388" i="1"/>
  <c r="L1387" i="1"/>
  <c r="K1387" i="1"/>
  <c r="J1387" i="1"/>
  <c r="I1387" i="1"/>
  <c r="H1387" i="1"/>
  <c r="L1386" i="1"/>
  <c r="K1386" i="1"/>
  <c r="J1386" i="1"/>
  <c r="I1386" i="1"/>
  <c r="H1386" i="1"/>
  <c r="L1385" i="1"/>
  <c r="K1385" i="1"/>
  <c r="J1385" i="1"/>
  <c r="I1385" i="1"/>
  <c r="H1385" i="1"/>
  <c r="L1384" i="1"/>
  <c r="K1384" i="1"/>
  <c r="J1384" i="1"/>
  <c r="I1384" i="1"/>
  <c r="H1384" i="1"/>
  <c r="L1383" i="1"/>
  <c r="K1383" i="1"/>
  <c r="J1383" i="1"/>
  <c r="I1383" i="1"/>
  <c r="H1383" i="1"/>
  <c r="L1382" i="1"/>
  <c r="K1382" i="1"/>
  <c r="J1382" i="1"/>
  <c r="I1382" i="1"/>
  <c r="H1382" i="1"/>
  <c r="L1381" i="1"/>
  <c r="K1381" i="1"/>
  <c r="J1381" i="1"/>
  <c r="I1381" i="1"/>
  <c r="H1381" i="1"/>
  <c r="L1380" i="1"/>
  <c r="K1380" i="1"/>
  <c r="J1380" i="1"/>
  <c r="I1380" i="1"/>
  <c r="H1380" i="1"/>
  <c r="L1379" i="1"/>
  <c r="K1379" i="1"/>
  <c r="J1379" i="1"/>
  <c r="I1379" i="1"/>
  <c r="H1379" i="1"/>
  <c r="L1378" i="1"/>
  <c r="K1378" i="1"/>
  <c r="J1378" i="1"/>
  <c r="I1378" i="1"/>
  <c r="H1378" i="1"/>
  <c r="L1377" i="1"/>
  <c r="K1377" i="1"/>
  <c r="J1377" i="1"/>
  <c r="I1377" i="1"/>
  <c r="H1377" i="1"/>
  <c r="L1376" i="1"/>
  <c r="K1376" i="1"/>
  <c r="J1376" i="1"/>
  <c r="I1376" i="1"/>
  <c r="H1376" i="1"/>
  <c r="L1375" i="1"/>
  <c r="K1375" i="1"/>
  <c r="J1375" i="1"/>
  <c r="I1375" i="1"/>
  <c r="H1375" i="1"/>
  <c r="L1374" i="1"/>
  <c r="K1374" i="1"/>
  <c r="J1374" i="1"/>
  <c r="I1374" i="1"/>
  <c r="H1374" i="1"/>
  <c r="L1373" i="1"/>
  <c r="K1373" i="1"/>
  <c r="J1373" i="1"/>
  <c r="I1373" i="1"/>
  <c r="H1373" i="1"/>
  <c r="L1372" i="1"/>
  <c r="K1372" i="1"/>
  <c r="J1372" i="1"/>
  <c r="I1372" i="1"/>
  <c r="H1372" i="1"/>
  <c r="L1371" i="1"/>
  <c r="K1371" i="1"/>
  <c r="J1371" i="1"/>
  <c r="I1371" i="1"/>
  <c r="H1371" i="1"/>
  <c r="L1370" i="1"/>
  <c r="K1370" i="1"/>
  <c r="J1370" i="1"/>
  <c r="I1370" i="1"/>
  <c r="H1370" i="1"/>
  <c r="L1369" i="1"/>
  <c r="K1369" i="1"/>
  <c r="J1369" i="1"/>
  <c r="I1369" i="1"/>
  <c r="H1369" i="1"/>
  <c r="L1368" i="1"/>
  <c r="K1368" i="1"/>
  <c r="J1368" i="1"/>
  <c r="I1368" i="1"/>
  <c r="H1368" i="1"/>
  <c r="L1367" i="1"/>
  <c r="K1367" i="1"/>
  <c r="J1367" i="1"/>
  <c r="I1367" i="1"/>
  <c r="H1367" i="1"/>
  <c r="L1366" i="1"/>
  <c r="K1366" i="1"/>
  <c r="J1366" i="1"/>
  <c r="I1366" i="1"/>
  <c r="H1366" i="1"/>
  <c r="L1365" i="1"/>
  <c r="K1365" i="1"/>
  <c r="J1365" i="1"/>
  <c r="I1365" i="1"/>
  <c r="H1365" i="1"/>
  <c r="L1364" i="1"/>
  <c r="K1364" i="1"/>
  <c r="J1364" i="1"/>
  <c r="I1364" i="1"/>
  <c r="H1364" i="1"/>
  <c r="L1363" i="1"/>
  <c r="K1363" i="1"/>
  <c r="J1363" i="1"/>
  <c r="I1363" i="1"/>
  <c r="H1363" i="1"/>
  <c r="L1362" i="1"/>
  <c r="K1362" i="1"/>
  <c r="J1362" i="1"/>
  <c r="I1362" i="1"/>
  <c r="H1362" i="1"/>
  <c r="L1361" i="1"/>
  <c r="K1361" i="1"/>
  <c r="J1361" i="1"/>
  <c r="I1361" i="1"/>
  <c r="H1361" i="1"/>
  <c r="L1360" i="1"/>
  <c r="K1360" i="1"/>
  <c r="J1360" i="1"/>
  <c r="I1360" i="1"/>
  <c r="H1360" i="1"/>
  <c r="L1359" i="1"/>
  <c r="K1359" i="1"/>
  <c r="J1359" i="1"/>
  <c r="I1359" i="1"/>
  <c r="H1359" i="1"/>
  <c r="L1358" i="1"/>
  <c r="K1358" i="1"/>
  <c r="J1358" i="1"/>
  <c r="I1358" i="1"/>
  <c r="H1358" i="1"/>
  <c r="L1357" i="1"/>
  <c r="K1357" i="1"/>
  <c r="J1357" i="1"/>
  <c r="I1357" i="1"/>
  <c r="H1357" i="1"/>
  <c r="L1356" i="1"/>
  <c r="K1356" i="1"/>
  <c r="J1356" i="1"/>
  <c r="I1356" i="1"/>
  <c r="H1356" i="1"/>
  <c r="L1355" i="1"/>
  <c r="K1355" i="1"/>
  <c r="J1355" i="1"/>
  <c r="I1355" i="1"/>
  <c r="H1355" i="1"/>
  <c r="L1354" i="1"/>
  <c r="K1354" i="1"/>
  <c r="J1354" i="1"/>
  <c r="I1354" i="1"/>
  <c r="H1354" i="1"/>
  <c r="L1353" i="1"/>
  <c r="K1353" i="1"/>
  <c r="J1353" i="1"/>
  <c r="I1353" i="1"/>
  <c r="H1353" i="1"/>
  <c r="L1352" i="1"/>
  <c r="K1352" i="1"/>
  <c r="J1352" i="1"/>
  <c r="I1352" i="1"/>
  <c r="H1352" i="1"/>
  <c r="L1351" i="1"/>
  <c r="K1351" i="1"/>
  <c r="J1351" i="1"/>
  <c r="I1351" i="1"/>
  <c r="H1351" i="1"/>
  <c r="L1350" i="1"/>
  <c r="K1350" i="1"/>
  <c r="J1350" i="1"/>
  <c r="I1350" i="1"/>
  <c r="H1350" i="1"/>
  <c r="L1349" i="1"/>
  <c r="K1349" i="1"/>
  <c r="J1349" i="1"/>
  <c r="I1349" i="1"/>
  <c r="H1349" i="1"/>
  <c r="L1348" i="1"/>
  <c r="K1348" i="1"/>
  <c r="J1348" i="1"/>
  <c r="I1348" i="1"/>
  <c r="H1348" i="1"/>
  <c r="L1347" i="1"/>
  <c r="K1347" i="1"/>
  <c r="J1347" i="1"/>
  <c r="I1347" i="1"/>
  <c r="H1347" i="1"/>
  <c r="L1346" i="1"/>
  <c r="K1346" i="1"/>
  <c r="J1346" i="1"/>
  <c r="I1346" i="1"/>
  <c r="H1346" i="1"/>
  <c r="L1345" i="1"/>
  <c r="K1345" i="1"/>
  <c r="J1345" i="1"/>
  <c r="I1345" i="1"/>
  <c r="H1345" i="1"/>
  <c r="L1344" i="1"/>
  <c r="K1344" i="1"/>
  <c r="J1344" i="1"/>
  <c r="I1344" i="1"/>
  <c r="H1344" i="1"/>
  <c r="L1343" i="1"/>
  <c r="K1343" i="1"/>
  <c r="J1343" i="1"/>
  <c r="I1343" i="1"/>
  <c r="H1343" i="1"/>
  <c r="L1342" i="1"/>
  <c r="K1342" i="1"/>
  <c r="J1342" i="1"/>
  <c r="I1342" i="1"/>
  <c r="H1342" i="1"/>
  <c r="L1341" i="1"/>
  <c r="K1341" i="1"/>
  <c r="J1341" i="1"/>
  <c r="I1341" i="1"/>
  <c r="H1341" i="1"/>
  <c r="L1340" i="1"/>
  <c r="K1340" i="1"/>
  <c r="J1340" i="1"/>
  <c r="I1340" i="1"/>
  <c r="H1340" i="1"/>
  <c r="L1339" i="1"/>
  <c r="K1339" i="1"/>
  <c r="J1339" i="1"/>
  <c r="I1339" i="1"/>
  <c r="H1339" i="1"/>
  <c r="L1338" i="1"/>
  <c r="K1338" i="1"/>
  <c r="J1338" i="1"/>
  <c r="I1338" i="1"/>
  <c r="H1338" i="1"/>
  <c r="L1337" i="1"/>
  <c r="K1337" i="1"/>
  <c r="J1337" i="1"/>
  <c r="I1337" i="1"/>
  <c r="H1337" i="1"/>
  <c r="L1336" i="1"/>
  <c r="K1336" i="1"/>
  <c r="J1336" i="1"/>
  <c r="I1336" i="1"/>
  <c r="H1336" i="1"/>
  <c r="L1335" i="1"/>
  <c r="K1335" i="1"/>
  <c r="J1335" i="1"/>
  <c r="I1335" i="1"/>
  <c r="H1335" i="1"/>
  <c r="L1334" i="1"/>
  <c r="K1334" i="1"/>
  <c r="J1334" i="1"/>
  <c r="I1334" i="1"/>
  <c r="H1334" i="1"/>
  <c r="L1333" i="1"/>
  <c r="K1333" i="1"/>
  <c r="J1333" i="1"/>
  <c r="I1333" i="1"/>
  <c r="H1333" i="1"/>
  <c r="L1332" i="1"/>
  <c r="K1332" i="1"/>
  <c r="J1332" i="1"/>
  <c r="I1332" i="1"/>
  <c r="H1332" i="1"/>
  <c r="L1331" i="1"/>
  <c r="K1331" i="1"/>
  <c r="J1331" i="1"/>
  <c r="I1331" i="1"/>
  <c r="H1331" i="1"/>
  <c r="L1330" i="1"/>
  <c r="K1330" i="1"/>
  <c r="J1330" i="1"/>
  <c r="I1330" i="1"/>
  <c r="H1330" i="1"/>
  <c r="L1329" i="1"/>
  <c r="K1329" i="1"/>
  <c r="J1329" i="1"/>
  <c r="I1329" i="1"/>
  <c r="H1329" i="1"/>
  <c r="L1328" i="1"/>
  <c r="K1328" i="1"/>
  <c r="J1328" i="1"/>
  <c r="I1328" i="1"/>
  <c r="H1328" i="1"/>
  <c r="L1327" i="1"/>
  <c r="K1327" i="1"/>
  <c r="J1327" i="1"/>
  <c r="I1327" i="1"/>
  <c r="H1327" i="1"/>
  <c r="L1326" i="1"/>
  <c r="K1326" i="1"/>
  <c r="J1326" i="1"/>
  <c r="I1326" i="1"/>
  <c r="H1326" i="1"/>
  <c r="L1325" i="1"/>
  <c r="K1325" i="1"/>
  <c r="J1325" i="1"/>
  <c r="I1325" i="1"/>
  <c r="H1325" i="1"/>
  <c r="L1324" i="1"/>
  <c r="K1324" i="1"/>
  <c r="J1324" i="1"/>
  <c r="I1324" i="1"/>
  <c r="H1324" i="1"/>
  <c r="L1323" i="1"/>
  <c r="K1323" i="1"/>
  <c r="J1323" i="1"/>
  <c r="I1323" i="1"/>
  <c r="H1323" i="1"/>
  <c r="L1322" i="1"/>
  <c r="K1322" i="1"/>
  <c r="J1322" i="1"/>
  <c r="I1322" i="1"/>
  <c r="H1322" i="1"/>
  <c r="L1321" i="1"/>
  <c r="K1321" i="1"/>
  <c r="J1321" i="1"/>
  <c r="I1321" i="1"/>
  <c r="H1321" i="1"/>
  <c r="L1320" i="1"/>
  <c r="K1320" i="1"/>
  <c r="J1320" i="1"/>
  <c r="I1320" i="1"/>
  <c r="H1320" i="1"/>
  <c r="L1319" i="1"/>
  <c r="K1319" i="1"/>
  <c r="J1319" i="1"/>
  <c r="I1319" i="1"/>
  <c r="H1319" i="1"/>
  <c r="L1318" i="1"/>
  <c r="K1318" i="1"/>
  <c r="J1318" i="1"/>
  <c r="I1318" i="1"/>
  <c r="H1318" i="1"/>
  <c r="L1317" i="1"/>
  <c r="K1317" i="1"/>
  <c r="J1317" i="1"/>
  <c r="I1317" i="1"/>
  <c r="H1317" i="1"/>
  <c r="L1316" i="1"/>
  <c r="K1316" i="1"/>
  <c r="J1316" i="1"/>
  <c r="I1316" i="1"/>
  <c r="H1316" i="1"/>
  <c r="L1315" i="1"/>
  <c r="K1315" i="1"/>
  <c r="J1315" i="1"/>
  <c r="I1315" i="1"/>
  <c r="H1315" i="1"/>
  <c r="L1314" i="1"/>
  <c r="K1314" i="1"/>
  <c r="J1314" i="1"/>
  <c r="I1314" i="1"/>
  <c r="H1314" i="1"/>
  <c r="L1313" i="1"/>
  <c r="K1313" i="1"/>
  <c r="J1313" i="1"/>
  <c r="I1313" i="1"/>
  <c r="H1313" i="1"/>
  <c r="L1312" i="1"/>
  <c r="K1312" i="1"/>
  <c r="J1312" i="1"/>
  <c r="I1312" i="1"/>
  <c r="H1312" i="1"/>
  <c r="L1311" i="1"/>
  <c r="K1311" i="1"/>
  <c r="J1311" i="1"/>
  <c r="I1311" i="1"/>
  <c r="H1311" i="1"/>
  <c r="L1310" i="1"/>
  <c r="K1310" i="1"/>
  <c r="J1310" i="1"/>
  <c r="I1310" i="1"/>
  <c r="H1310" i="1"/>
  <c r="L1309" i="1"/>
  <c r="K1309" i="1"/>
  <c r="J1309" i="1"/>
  <c r="I1309" i="1"/>
  <c r="H1309" i="1"/>
  <c r="L1308" i="1"/>
  <c r="K1308" i="1"/>
  <c r="J1308" i="1"/>
  <c r="I1308" i="1"/>
  <c r="H1308" i="1"/>
  <c r="L1307" i="1"/>
  <c r="K1307" i="1"/>
  <c r="J1307" i="1"/>
  <c r="I1307" i="1"/>
  <c r="H1307" i="1"/>
  <c r="L1306" i="1"/>
  <c r="K1306" i="1"/>
  <c r="J1306" i="1"/>
  <c r="I1306" i="1"/>
  <c r="H1306" i="1"/>
  <c r="L1305" i="1"/>
  <c r="K1305" i="1"/>
  <c r="J1305" i="1"/>
  <c r="I1305" i="1"/>
  <c r="H1305" i="1"/>
  <c r="L1304" i="1"/>
  <c r="K1304" i="1"/>
  <c r="J1304" i="1"/>
  <c r="I1304" i="1"/>
  <c r="H1304" i="1"/>
  <c r="L1303" i="1"/>
  <c r="K1303" i="1"/>
  <c r="J1303" i="1"/>
  <c r="I1303" i="1"/>
  <c r="H1303" i="1"/>
  <c r="L1302" i="1"/>
  <c r="K1302" i="1"/>
  <c r="J1302" i="1"/>
  <c r="I1302" i="1"/>
  <c r="H1302" i="1"/>
  <c r="L1301" i="1"/>
  <c r="K1301" i="1"/>
  <c r="J1301" i="1"/>
  <c r="I1301" i="1"/>
  <c r="H1301" i="1"/>
  <c r="L1300" i="1"/>
  <c r="K1300" i="1"/>
  <c r="J1300" i="1"/>
  <c r="I1300" i="1"/>
  <c r="H1300" i="1"/>
  <c r="L1299" i="1"/>
  <c r="K1299" i="1"/>
  <c r="J1299" i="1"/>
  <c r="I1299" i="1"/>
  <c r="H1299" i="1"/>
  <c r="L1298" i="1"/>
  <c r="K1298" i="1"/>
  <c r="J1298" i="1"/>
  <c r="I1298" i="1"/>
  <c r="H1298" i="1"/>
  <c r="L1297" i="1"/>
  <c r="K1297" i="1"/>
  <c r="J1297" i="1"/>
  <c r="I1297" i="1"/>
  <c r="H1297" i="1"/>
  <c r="L1296" i="1"/>
  <c r="K1296" i="1"/>
  <c r="J1296" i="1"/>
  <c r="I1296" i="1"/>
  <c r="H1296" i="1"/>
  <c r="L1295" i="1"/>
  <c r="K1295" i="1"/>
  <c r="J1295" i="1"/>
  <c r="I1295" i="1"/>
  <c r="H1295" i="1"/>
  <c r="L1294" i="1"/>
  <c r="K1294" i="1"/>
  <c r="J1294" i="1"/>
  <c r="I1294" i="1"/>
  <c r="H1294" i="1"/>
  <c r="L1293" i="1"/>
  <c r="K1293" i="1"/>
  <c r="J1293" i="1"/>
  <c r="I1293" i="1"/>
  <c r="H1293" i="1"/>
  <c r="L1292" i="1"/>
  <c r="K1292" i="1"/>
  <c r="J1292" i="1"/>
  <c r="I1292" i="1"/>
  <c r="H1292" i="1"/>
  <c r="L1291" i="1"/>
  <c r="K1291" i="1"/>
  <c r="J1291" i="1"/>
  <c r="I1291" i="1"/>
  <c r="H1291" i="1"/>
  <c r="L1290" i="1"/>
  <c r="K1290" i="1"/>
  <c r="J1290" i="1"/>
  <c r="I1290" i="1"/>
  <c r="H1290" i="1"/>
  <c r="L1289" i="1"/>
  <c r="K1289" i="1"/>
  <c r="J1289" i="1"/>
  <c r="I1289" i="1"/>
  <c r="H1289" i="1"/>
  <c r="L1288" i="1"/>
  <c r="K1288" i="1"/>
  <c r="J1288" i="1"/>
  <c r="I1288" i="1"/>
  <c r="H1288" i="1"/>
  <c r="L1287" i="1"/>
  <c r="K1287" i="1"/>
  <c r="J1287" i="1"/>
  <c r="I1287" i="1"/>
  <c r="H1287" i="1"/>
  <c r="L1286" i="1"/>
  <c r="K1286" i="1"/>
  <c r="J1286" i="1"/>
  <c r="I1286" i="1"/>
  <c r="H1286" i="1"/>
  <c r="L1285" i="1"/>
  <c r="K1285" i="1"/>
  <c r="J1285" i="1"/>
  <c r="I1285" i="1"/>
  <c r="H1285" i="1"/>
  <c r="L1284" i="1"/>
  <c r="K1284" i="1"/>
  <c r="J1284" i="1"/>
  <c r="I1284" i="1"/>
  <c r="H1284" i="1"/>
  <c r="L1283" i="1"/>
  <c r="K1283" i="1"/>
  <c r="J1283" i="1"/>
  <c r="I1283" i="1"/>
  <c r="H1283" i="1"/>
  <c r="L1282" i="1"/>
  <c r="K1282" i="1"/>
  <c r="J1282" i="1"/>
  <c r="I1282" i="1"/>
  <c r="H1282" i="1"/>
  <c r="L1281" i="1"/>
  <c r="K1281" i="1"/>
  <c r="J1281" i="1"/>
  <c r="I1281" i="1"/>
  <c r="H1281" i="1"/>
  <c r="L1280" i="1"/>
  <c r="K1280" i="1"/>
  <c r="J1280" i="1"/>
  <c r="I1280" i="1"/>
  <c r="H1280" i="1"/>
  <c r="L1279" i="1"/>
  <c r="K1279" i="1"/>
  <c r="J1279" i="1"/>
  <c r="I1279" i="1"/>
  <c r="H1279" i="1"/>
  <c r="L1278" i="1"/>
  <c r="K1278" i="1"/>
  <c r="J1278" i="1"/>
  <c r="I1278" i="1"/>
  <c r="H1278" i="1"/>
  <c r="L1277" i="1"/>
  <c r="K1277" i="1"/>
  <c r="J1277" i="1"/>
  <c r="I1277" i="1"/>
  <c r="H1277" i="1"/>
  <c r="L1276" i="1"/>
  <c r="K1276" i="1"/>
  <c r="J1276" i="1"/>
  <c r="I1276" i="1"/>
  <c r="H1276" i="1"/>
  <c r="L1275" i="1"/>
  <c r="K1275" i="1"/>
  <c r="J1275" i="1"/>
  <c r="I1275" i="1"/>
  <c r="H1275" i="1"/>
  <c r="L1274" i="1"/>
  <c r="K1274" i="1"/>
  <c r="J1274" i="1"/>
  <c r="I1274" i="1"/>
  <c r="H1274" i="1"/>
  <c r="L1273" i="1"/>
  <c r="K1273" i="1"/>
  <c r="J1273" i="1"/>
  <c r="I1273" i="1"/>
  <c r="H1273" i="1"/>
  <c r="L1272" i="1"/>
  <c r="K1272" i="1"/>
  <c r="J1272" i="1"/>
  <c r="I1272" i="1"/>
  <c r="H1272" i="1"/>
  <c r="L1271" i="1"/>
  <c r="K1271" i="1"/>
  <c r="J1271" i="1"/>
  <c r="I1271" i="1"/>
  <c r="H1271" i="1"/>
  <c r="L1270" i="1"/>
  <c r="K1270" i="1"/>
  <c r="J1270" i="1"/>
  <c r="I1270" i="1"/>
  <c r="H1270" i="1"/>
  <c r="L1269" i="1"/>
  <c r="K1269" i="1"/>
  <c r="J1269" i="1"/>
  <c r="I1269" i="1"/>
  <c r="H1269" i="1"/>
  <c r="L1268" i="1"/>
  <c r="K1268" i="1"/>
  <c r="J1268" i="1"/>
  <c r="I1268" i="1"/>
  <c r="H1268" i="1"/>
  <c r="L1267" i="1"/>
  <c r="K1267" i="1"/>
  <c r="J1267" i="1"/>
  <c r="I1267" i="1"/>
  <c r="H1267" i="1"/>
  <c r="L1266" i="1"/>
  <c r="K1266" i="1"/>
  <c r="J1266" i="1"/>
  <c r="I1266" i="1"/>
  <c r="H1266" i="1"/>
  <c r="L1265" i="1"/>
  <c r="K1265" i="1"/>
  <c r="J1265" i="1"/>
  <c r="I1265" i="1"/>
  <c r="H1265" i="1"/>
  <c r="L1264" i="1"/>
  <c r="K1264" i="1"/>
  <c r="J1264" i="1"/>
  <c r="I1264" i="1"/>
  <c r="H1264" i="1"/>
  <c r="L1263" i="1"/>
  <c r="K1263" i="1"/>
  <c r="J1263" i="1"/>
  <c r="I1263" i="1"/>
  <c r="H1263" i="1"/>
  <c r="L1262" i="1"/>
  <c r="K1262" i="1"/>
  <c r="J1262" i="1"/>
  <c r="I1262" i="1"/>
  <c r="H1262" i="1"/>
  <c r="L1261" i="1"/>
  <c r="K1261" i="1"/>
  <c r="J1261" i="1"/>
  <c r="I1261" i="1"/>
  <c r="H1261" i="1"/>
  <c r="L1260" i="1"/>
  <c r="K1260" i="1"/>
  <c r="J1260" i="1"/>
  <c r="I1260" i="1"/>
  <c r="H1260" i="1"/>
  <c r="L1259" i="1"/>
  <c r="K1259" i="1"/>
  <c r="J1259" i="1"/>
  <c r="I1259" i="1"/>
  <c r="H1259" i="1"/>
  <c r="L1258" i="1"/>
  <c r="K1258" i="1"/>
  <c r="J1258" i="1"/>
  <c r="I1258" i="1"/>
  <c r="H1258" i="1"/>
  <c r="L1257" i="1"/>
  <c r="K1257" i="1"/>
  <c r="J1257" i="1"/>
  <c r="I1257" i="1"/>
  <c r="H1257" i="1"/>
  <c r="L1256" i="1"/>
  <c r="K1256" i="1"/>
  <c r="J1256" i="1"/>
  <c r="I1256" i="1"/>
  <c r="H1256" i="1"/>
  <c r="L1255" i="1"/>
  <c r="K1255" i="1"/>
  <c r="J1255" i="1"/>
  <c r="I1255" i="1"/>
  <c r="H1255" i="1"/>
  <c r="L1254" i="1"/>
  <c r="K1254" i="1"/>
  <c r="J1254" i="1"/>
  <c r="I1254" i="1"/>
  <c r="H1254" i="1"/>
  <c r="L1253" i="1"/>
  <c r="K1253" i="1"/>
  <c r="J1253" i="1"/>
  <c r="I1253" i="1"/>
  <c r="H1253" i="1"/>
  <c r="L1252" i="1"/>
  <c r="K1252" i="1"/>
  <c r="J1252" i="1"/>
  <c r="I1252" i="1"/>
  <c r="H1252" i="1"/>
  <c r="L1251" i="1"/>
  <c r="K1251" i="1"/>
  <c r="J1251" i="1"/>
  <c r="I1251" i="1"/>
  <c r="H1251" i="1"/>
  <c r="L1250" i="1"/>
  <c r="K1250" i="1"/>
  <c r="J1250" i="1"/>
  <c r="I1250" i="1"/>
  <c r="H1250" i="1"/>
  <c r="L1249" i="1"/>
  <c r="K1249" i="1"/>
  <c r="J1249" i="1"/>
  <c r="I1249" i="1"/>
  <c r="H1249" i="1"/>
  <c r="L1248" i="1"/>
  <c r="K1248" i="1"/>
  <c r="J1248" i="1"/>
  <c r="I1248" i="1"/>
  <c r="H1248" i="1"/>
  <c r="L1247" i="1"/>
  <c r="K1247" i="1"/>
  <c r="J1247" i="1"/>
  <c r="I1247" i="1"/>
  <c r="H1247" i="1"/>
  <c r="L1246" i="1"/>
  <c r="K1246" i="1"/>
  <c r="J1246" i="1"/>
  <c r="I1246" i="1"/>
  <c r="H1246" i="1"/>
  <c r="L1245" i="1"/>
  <c r="K1245" i="1"/>
  <c r="J1245" i="1"/>
  <c r="I1245" i="1"/>
  <c r="H1245" i="1"/>
  <c r="L1244" i="1"/>
  <c r="K1244" i="1"/>
  <c r="J1244" i="1"/>
  <c r="I1244" i="1"/>
  <c r="H1244" i="1"/>
  <c r="L1243" i="1"/>
  <c r="K1243" i="1"/>
  <c r="J1243" i="1"/>
  <c r="I1243" i="1"/>
  <c r="H1243" i="1"/>
  <c r="L1242" i="1"/>
  <c r="K1242" i="1"/>
  <c r="J1242" i="1"/>
  <c r="I1242" i="1"/>
  <c r="H1242" i="1"/>
  <c r="L1241" i="1"/>
  <c r="K1241" i="1"/>
  <c r="J1241" i="1"/>
  <c r="I1241" i="1"/>
  <c r="H1241" i="1"/>
  <c r="L1240" i="1"/>
  <c r="K1240" i="1"/>
  <c r="J1240" i="1"/>
  <c r="I1240" i="1"/>
  <c r="H1240" i="1"/>
  <c r="L1239" i="1"/>
  <c r="K1239" i="1"/>
  <c r="J1239" i="1"/>
  <c r="I1239" i="1"/>
  <c r="H1239" i="1"/>
  <c r="L1238" i="1"/>
  <c r="K1238" i="1"/>
  <c r="J1238" i="1"/>
  <c r="I1238" i="1"/>
  <c r="H1238" i="1"/>
  <c r="L1237" i="1"/>
  <c r="K1237" i="1"/>
  <c r="J1237" i="1"/>
  <c r="I1237" i="1"/>
  <c r="H1237" i="1"/>
  <c r="L1236" i="1"/>
  <c r="K1236" i="1"/>
  <c r="J1236" i="1"/>
  <c r="I1236" i="1"/>
  <c r="H1236" i="1"/>
  <c r="L1235" i="1"/>
  <c r="K1235" i="1"/>
  <c r="J1235" i="1"/>
  <c r="I1235" i="1"/>
  <c r="H1235" i="1"/>
  <c r="L1234" i="1"/>
  <c r="K1234" i="1"/>
  <c r="J1234" i="1"/>
  <c r="I1234" i="1"/>
  <c r="H1234" i="1"/>
  <c r="L1233" i="1"/>
  <c r="K1233" i="1"/>
  <c r="J1233" i="1"/>
  <c r="I1233" i="1"/>
  <c r="H1233" i="1"/>
  <c r="L1232" i="1"/>
  <c r="K1232" i="1"/>
  <c r="J1232" i="1"/>
  <c r="I1232" i="1"/>
  <c r="H1232" i="1"/>
  <c r="L1231" i="1"/>
  <c r="K1231" i="1"/>
  <c r="J1231" i="1"/>
  <c r="I1231" i="1"/>
  <c r="H1231" i="1"/>
  <c r="L1230" i="1"/>
  <c r="K1230" i="1"/>
  <c r="J1230" i="1"/>
  <c r="I1230" i="1"/>
  <c r="H1230" i="1"/>
  <c r="L1229" i="1"/>
  <c r="K1229" i="1"/>
  <c r="J1229" i="1"/>
  <c r="I1229" i="1"/>
  <c r="H1229" i="1"/>
  <c r="L1228" i="1"/>
  <c r="K1228" i="1"/>
  <c r="J1228" i="1"/>
  <c r="I1228" i="1"/>
  <c r="H1228" i="1"/>
  <c r="L1227" i="1"/>
  <c r="K1227" i="1"/>
  <c r="J1227" i="1"/>
  <c r="I1227" i="1"/>
  <c r="H1227" i="1"/>
  <c r="L1226" i="1"/>
  <c r="K1226" i="1"/>
  <c r="J1226" i="1"/>
  <c r="I1226" i="1"/>
  <c r="H1226" i="1"/>
  <c r="L1225" i="1"/>
  <c r="K1225" i="1"/>
  <c r="J1225" i="1"/>
  <c r="I1225" i="1"/>
  <c r="H1225" i="1"/>
  <c r="L1224" i="1"/>
  <c r="K1224" i="1"/>
  <c r="J1224" i="1"/>
  <c r="I1224" i="1"/>
  <c r="H1224" i="1"/>
  <c r="L1223" i="1"/>
  <c r="K1223" i="1"/>
  <c r="J1223" i="1"/>
  <c r="I1223" i="1"/>
  <c r="H1223" i="1"/>
  <c r="L1222" i="1"/>
  <c r="K1222" i="1"/>
  <c r="J1222" i="1"/>
  <c r="I1222" i="1"/>
  <c r="H1222" i="1"/>
  <c r="L1221" i="1"/>
  <c r="K1221" i="1"/>
  <c r="J1221" i="1"/>
  <c r="I1221" i="1"/>
  <c r="H1221" i="1"/>
  <c r="L1220" i="1"/>
  <c r="K1220" i="1"/>
  <c r="J1220" i="1"/>
  <c r="I1220" i="1"/>
  <c r="H1220" i="1"/>
  <c r="L1219" i="1"/>
  <c r="K1219" i="1"/>
  <c r="J1219" i="1"/>
  <c r="I1219" i="1"/>
  <c r="H1219" i="1"/>
  <c r="L1218" i="1"/>
  <c r="K1218" i="1"/>
  <c r="J1218" i="1"/>
  <c r="I1218" i="1"/>
  <c r="H1218" i="1"/>
  <c r="L1217" i="1"/>
  <c r="K1217" i="1"/>
  <c r="J1217" i="1"/>
  <c r="I1217" i="1"/>
  <c r="H1217" i="1"/>
  <c r="L1216" i="1"/>
  <c r="K1216" i="1"/>
  <c r="J1216" i="1"/>
  <c r="I1216" i="1"/>
  <c r="H1216" i="1"/>
  <c r="L1215" i="1"/>
  <c r="K1215" i="1"/>
  <c r="J1215" i="1"/>
  <c r="I1215" i="1"/>
  <c r="H1215" i="1"/>
  <c r="L1214" i="1"/>
  <c r="K1214" i="1"/>
  <c r="J1214" i="1"/>
  <c r="I1214" i="1"/>
  <c r="H1214" i="1"/>
  <c r="L1213" i="1"/>
  <c r="K1213" i="1"/>
  <c r="J1213" i="1"/>
  <c r="I1213" i="1"/>
  <c r="H1213" i="1"/>
  <c r="L1212" i="1"/>
  <c r="K1212" i="1"/>
  <c r="J1212" i="1"/>
  <c r="I1212" i="1"/>
  <c r="H1212" i="1"/>
  <c r="L1211" i="1"/>
  <c r="K1211" i="1"/>
  <c r="J1211" i="1"/>
  <c r="I1211" i="1"/>
  <c r="H1211" i="1"/>
  <c r="L1210" i="1"/>
  <c r="K1210" i="1"/>
  <c r="J1210" i="1"/>
  <c r="I1210" i="1"/>
  <c r="H1210" i="1"/>
  <c r="L1209" i="1"/>
  <c r="K1209" i="1"/>
  <c r="J1209" i="1"/>
  <c r="I1209" i="1"/>
  <c r="H1209" i="1"/>
  <c r="L1208" i="1"/>
  <c r="K1208" i="1"/>
  <c r="J1208" i="1"/>
  <c r="I1208" i="1"/>
  <c r="H1208" i="1"/>
  <c r="L1207" i="1"/>
  <c r="K1207" i="1"/>
  <c r="J1207" i="1"/>
  <c r="I1207" i="1"/>
  <c r="H1207" i="1"/>
  <c r="L1206" i="1"/>
  <c r="K1206" i="1"/>
  <c r="J1206" i="1"/>
  <c r="I1206" i="1"/>
  <c r="H1206" i="1"/>
  <c r="L1205" i="1"/>
  <c r="K1205" i="1"/>
  <c r="J1205" i="1"/>
  <c r="I1205" i="1"/>
  <c r="H1205" i="1"/>
  <c r="L1204" i="1"/>
  <c r="K1204" i="1"/>
  <c r="J1204" i="1"/>
  <c r="I1204" i="1"/>
  <c r="H1204" i="1"/>
  <c r="L1203" i="1"/>
  <c r="K1203" i="1"/>
  <c r="J1203" i="1"/>
  <c r="I1203" i="1"/>
  <c r="H1203" i="1"/>
  <c r="L1202" i="1"/>
  <c r="K1202" i="1"/>
  <c r="J1202" i="1"/>
  <c r="I1202" i="1"/>
  <c r="H1202" i="1"/>
  <c r="L1201" i="1"/>
  <c r="K1201" i="1"/>
  <c r="J1201" i="1"/>
  <c r="I1201" i="1"/>
  <c r="H1201" i="1"/>
  <c r="L1200" i="1"/>
  <c r="K1200" i="1"/>
  <c r="J1200" i="1"/>
  <c r="I1200" i="1"/>
  <c r="H1200" i="1"/>
  <c r="L1199" i="1"/>
  <c r="K1199" i="1"/>
  <c r="J1199" i="1"/>
  <c r="I1199" i="1"/>
  <c r="H1199" i="1"/>
  <c r="L1198" i="1"/>
  <c r="K1198" i="1"/>
  <c r="J1198" i="1"/>
  <c r="I1198" i="1"/>
  <c r="H1198" i="1"/>
  <c r="L1197" i="1"/>
  <c r="K1197" i="1"/>
  <c r="J1197" i="1"/>
  <c r="I1197" i="1"/>
  <c r="H1197" i="1"/>
  <c r="L1196" i="1"/>
  <c r="K1196" i="1"/>
  <c r="J1196" i="1"/>
  <c r="I1196" i="1"/>
  <c r="H1196" i="1"/>
  <c r="L1195" i="1"/>
  <c r="K1195" i="1"/>
  <c r="J1195" i="1"/>
  <c r="I1195" i="1"/>
  <c r="H1195" i="1"/>
  <c r="L1194" i="1"/>
  <c r="K1194" i="1"/>
  <c r="J1194" i="1"/>
  <c r="I1194" i="1"/>
  <c r="H1194" i="1"/>
  <c r="L1193" i="1"/>
  <c r="K1193" i="1"/>
  <c r="J1193" i="1"/>
  <c r="I1193" i="1"/>
  <c r="H1193" i="1"/>
  <c r="L1192" i="1"/>
  <c r="K1192" i="1"/>
  <c r="J1192" i="1"/>
  <c r="I1192" i="1"/>
  <c r="H1192" i="1"/>
  <c r="L1191" i="1"/>
  <c r="K1191" i="1"/>
  <c r="J1191" i="1"/>
  <c r="I1191" i="1"/>
  <c r="H1191" i="1"/>
  <c r="L1190" i="1"/>
  <c r="K1190" i="1"/>
  <c r="J1190" i="1"/>
  <c r="I1190" i="1"/>
  <c r="H1190" i="1"/>
  <c r="L1189" i="1"/>
  <c r="K1189" i="1"/>
  <c r="J1189" i="1"/>
  <c r="I1189" i="1"/>
  <c r="H1189" i="1"/>
  <c r="L1188" i="1"/>
  <c r="K1188" i="1"/>
  <c r="J1188" i="1"/>
  <c r="I1188" i="1"/>
  <c r="H1188" i="1"/>
  <c r="L1187" i="1"/>
  <c r="K1187" i="1"/>
  <c r="J1187" i="1"/>
  <c r="I1187" i="1"/>
  <c r="H1187" i="1"/>
  <c r="L1186" i="1"/>
  <c r="K1186" i="1"/>
  <c r="J1186" i="1"/>
  <c r="I1186" i="1"/>
  <c r="H1186" i="1"/>
  <c r="L1185" i="1"/>
  <c r="K1185" i="1"/>
  <c r="J1185" i="1"/>
  <c r="I1185" i="1"/>
  <c r="H1185" i="1"/>
  <c r="L1184" i="1"/>
  <c r="K1184" i="1"/>
  <c r="J1184" i="1"/>
  <c r="I1184" i="1"/>
  <c r="H1184" i="1"/>
  <c r="L1183" i="1"/>
  <c r="K1183" i="1"/>
  <c r="J1183" i="1"/>
  <c r="I1183" i="1"/>
  <c r="H1183" i="1"/>
  <c r="L1182" i="1"/>
  <c r="K1182" i="1"/>
  <c r="J1182" i="1"/>
  <c r="I1182" i="1"/>
  <c r="H1182" i="1"/>
  <c r="L1181" i="1"/>
  <c r="K1181" i="1"/>
  <c r="J1181" i="1"/>
  <c r="I1181" i="1"/>
  <c r="H1181" i="1"/>
  <c r="L1180" i="1"/>
  <c r="K1180" i="1"/>
  <c r="J1180" i="1"/>
  <c r="I1180" i="1"/>
  <c r="H1180" i="1"/>
  <c r="L1179" i="1"/>
  <c r="K1179" i="1"/>
  <c r="J1179" i="1"/>
  <c r="I1179" i="1"/>
  <c r="H1179" i="1"/>
  <c r="L1178" i="1"/>
  <c r="K1178" i="1"/>
  <c r="J1178" i="1"/>
  <c r="I1178" i="1"/>
  <c r="H1178" i="1"/>
  <c r="L1177" i="1"/>
  <c r="K1177" i="1"/>
  <c r="J1177" i="1"/>
  <c r="I1177" i="1"/>
  <c r="H1177" i="1"/>
  <c r="L1176" i="1"/>
  <c r="K1176" i="1"/>
  <c r="J1176" i="1"/>
  <c r="I1176" i="1"/>
  <c r="H1176" i="1"/>
  <c r="L1175" i="1"/>
  <c r="K1175" i="1"/>
  <c r="J1175" i="1"/>
  <c r="I1175" i="1"/>
  <c r="H1175" i="1"/>
  <c r="L1174" i="1"/>
  <c r="K1174" i="1"/>
  <c r="J1174" i="1"/>
  <c r="I1174" i="1"/>
  <c r="H1174" i="1"/>
  <c r="L1173" i="1"/>
  <c r="K1173" i="1"/>
  <c r="J1173" i="1"/>
  <c r="I1173" i="1"/>
  <c r="H1173" i="1"/>
  <c r="L1172" i="1"/>
  <c r="K1172" i="1"/>
  <c r="J1172" i="1"/>
  <c r="I1172" i="1"/>
  <c r="H1172" i="1"/>
  <c r="L1171" i="1"/>
  <c r="K1171" i="1"/>
  <c r="J1171" i="1"/>
  <c r="I1171" i="1"/>
  <c r="H1171" i="1"/>
  <c r="L1170" i="1"/>
  <c r="K1170" i="1"/>
  <c r="J1170" i="1"/>
  <c r="I1170" i="1"/>
  <c r="H1170" i="1"/>
  <c r="L1169" i="1"/>
  <c r="K1169" i="1"/>
  <c r="J1169" i="1"/>
  <c r="I1169" i="1"/>
  <c r="H1169" i="1"/>
  <c r="L1168" i="1"/>
  <c r="K1168" i="1"/>
  <c r="J1168" i="1"/>
  <c r="I1168" i="1"/>
  <c r="H1168" i="1"/>
  <c r="L1167" i="1"/>
  <c r="K1167" i="1"/>
  <c r="J1167" i="1"/>
  <c r="I1167" i="1"/>
  <c r="H1167" i="1"/>
  <c r="L1166" i="1"/>
  <c r="K1166" i="1"/>
  <c r="J1166" i="1"/>
  <c r="I1166" i="1"/>
  <c r="H1166" i="1"/>
  <c r="L1165" i="1"/>
  <c r="K1165" i="1"/>
  <c r="J1165" i="1"/>
  <c r="I1165" i="1"/>
  <c r="H1165" i="1"/>
  <c r="L1164" i="1"/>
  <c r="K1164" i="1"/>
  <c r="J1164" i="1"/>
  <c r="I1164" i="1"/>
  <c r="H1164" i="1"/>
  <c r="L1163" i="1"/>
  <c r="K1163" i="1"/>
  <c r="J1163" i="1"/>
  <c r="I1163" i="1"/>
  <c r="H1163" i="1"/>
  <c r="L1162" i="1"/>
  <c r="K1162" i="1"/>
  <c r="J1162" i="1"/>
  <c r="I1162" i="1"/>
  <c r="H1162" i="1"/>
  <c r="L1161" i="1"/>
  <c r="K1161" i="1"/>
  <c r="J1161" i="1"/>
  <c r="I1161" i="1"/>
  <c r="H1161" i="1"/>
  <c r="L1160" i="1"/>
  <c r="K1160" i="1"/>
  <c r="J1160" i="1"/>
  <c r="I1160" i="1"/>
  <c r="H1160" i="1"/>
  <c r="L1159" i="1"/>
  <c r="K1159" i="1"/>
  <c r="J1159" i="1"/>
  <c r="I1159" i="1"/>
  <c r="H1159" i="1"/>
  <c r="L1158" i="1"/>
  <c r="K1158" i="1"/>
  <c r="J1158" i="1"/>
  <c r="I1158" i="1"/>
  <c r="H1158" i="1"/>
  <c r="L1157" i="1"/>
  <c r="K1157" i="1"/>
  <c r="J1157" i="1"/>
  <c r="I1157" i="1"/>
  <c r="H1157" i="1"/>
  <c r="L1156" i="1"/>
  <c r="K1156" i="1"/>
  <c r="J1156" i="1"/>
  <c r="I1156" i="1"/>
  <c r="H1156" i="1"/>
  <c r="L1155" i="1"/>
  <c r="K1155" i="1"/>
  <c r="J1155" i="1"/>
  <c r="I1155" i="1"/>
  <c r="H1155" i="1"/>
  <c r="L1154" i="1"/>
  <c r="K1154" i="1"/>
  <c r="J1154" i="1"/>
  <c r="I1154" i="1"/>
  <c r="H1154" i="1"/>
  <c r="L1153" i="1"/>
  <c r="K1153" i="1"/>
  <c r="J1153" i="1"/>
  <c r="I1153" i="1"/>
  <c r="H1153" i="1"/>
  <c r="L1152" i="1"/>
  <c r="K1152" i="1"/>
  <c r="J1152" i="1"/>
  <c r="I1152" i="1"/>
  <c r="H1152" i="1"/>
  <c r="L1151" i="1"/>
  <c r="K1151" i="1"/>
  <c r="J1151" i="1"/>
  <c r="I1151" i="1"/>
  <c r="H1151" i="1"/>
  <c r="L1150" i="1"/>
  <c r="K1150" i="1"/>
  <c r="J1150" i="1"/>
  <c r="I1150" i="1"/>
  <c r="H1150" i="1"/>
  <c r="L1149" i="1"/>
  <c r="K1149" i="1"/>
  <c r="J1149" i="1"/>
  <c r="I1149" i="1"/>
  <c r="H1149" i="1"/>
  <c r="L1148" i="1"/>
  <c r="K1148" i="1"/>
  <c r="J1148" i="1"/>
  <c r="I1148" i="1"/>
  <c r="H1148" i="1"/>
  <c r="L1147" i="1"/>
  <c r="K1147" i="1"/>
  <c r="J1147" i="1"/>
  <c r="I1147" i="1"/>
  <c r="H1147" i="1"/>
  <c r="L1146" i="1"/>
  <c r="K1146" i="1"/>
  <c r="J1146" i="1"/>
  <c r="I1146" i="1"/>
  <c r="H1146" i="1"/>
  <c r="L1145" i="1"/>
  <c r="K1145" i="1"/>
  <c r="J1145" i="1"/>
  <c r="I1145" i="1"/>
  <c r="H1145" i="1"/>
  <c r="L1144" i="1"/>
  <c r="K1144" i="1"/>
  <c r="J1144" i="1"/>
  <c r="I1144" i="1"/>
  <c r="H1144" i="1"/>
  <c r="L1143" i="1"/>
  <c r="K1143" i="1"/>
  <c r="J1143" i="1"/>
  <c r="I1143" i="1"/>
  <c r="H1143" i="1"/>
  <c r="L1142" i="1"/>
  <c r="K1142" i="1"/>
  <c r="J1142" i="1"/>
  <c r="I1142" i="1"/>
  <c r="H1142" i="1"/>
  <c r="L1141" i="1"/>
  <c r="K1141" i="1"/>
  <c r="J1141" i="1"/>
  <c r="I1141" i="1"/>
  <c r="H1141" i="1"/>
  <c r="L1140" i="1"/>
  <c r="K1140" i="1"/>
  <c r="J1140" i="1"/>
  <c r="I1140" i="1"/>
  <c r="H1140" i="1"/>
  <c r="L1139" i="1"/>
  <c r="K1139" i="1"/>
  <c r="J1139" i="1"/>
  <c r="I1139" i="1"/>
  <c r="H1139" i="1"/>
  <c r="L1138" i="1"/>
  <c r="K1138" i="1"/>
  <c r="J1138" i="1"/>
  <c r="I1138" i="1"/>
  <c r="H1138" i="1"/>
  <c r="L1137" i="1"/>
  <c r="K1137" i="1"/>
  <c r="J1137" i="1"/>
  <c r="I1137" i="1"/>
  <c r="H1137" i="1"/>
  <c r="L1136" i="1"/>
  <c r="K1136" i="1"/>
  <c r="J1136" i="1"/>
  <c r="I1136" i="1"/>
  <c r="H1136" i="1"/>
  <c r="L1135" i="1"/>
  <c r="K1135" i="1"/>
  <c r="J1135" i="1"/>
  <c r="I1135" i="1"/>
  <c r="H1135" i="1"/>
  <c r="L1134" i="1"/>
  <c r="K1134" i="1"/>
  <c r="J1134" i="1"/>
  <c r="I1134" i="1"/>
  <c r="H1134" i="1"/>
  <c r="L1133" i="1"/>
  <c r="K1133" i="1"/>
  <c r="J1133" i="1"/>
  <c r="I1133" i="1"/>
  <c r="H1133" i="1"/>
  <c r="L1132" i="1"/>
  <c r="K1132" i="1"/>
  <c r="J1132" i="1"/>
  <c r="I1132" i="1"/>
  <c r="H1132" i="1"/>
  <c r="L1131" i="1"/>
  <c r="K1131" i="1"/>
  <c r="J1131" i="1"/>
  <c r="I1131" i="1"/>
  <c r="H1131" i="1"/>
  <c r="L1130" i="1"/>
  <c r="K1130" i="1"/>
  <c r="J1130" i="1"/>
  <c r="I1130" i="1"/>
  <c r="H1130" i="1"/>
  <c r="L1129" i="1"/>
  <c r="K1129" i="1"/>
  <c r="J1129" i="1"/>
  <c r="I1129" i="1"/>
  <c r="H1129" i="1"/>
  <c r="L1128" i="1"/>
  <c r="K1128" i="1"/>
  <c r="J1128" i="1"/>
  <c r="I1128" i="1"/>
  <c r="H1128" i="1"/>
  <c r="L1127" i="1"/>
  <c r="K1127" i="1"/>
  <c r="J1127" i="1"/>
  <c r="I1127" i="1"/>
  <c r="H1127" i="1"/>
  <c r="L1126" i="1"/>
  <c r="K1126" i="1"/>
  <c r="J1126" i="1"/>
  <c r="I1126" i="1"/>
  <c r="H1126" i="1"/>
  <c r="L1125" i="1"/>
  <c r="K1125" i="1"/>
  <c r="J1125" i="1"/>
  <c r="I1125" i="1"/>
  <c r="H1125" i="1"/>
  <c r="L1124" i="1"/>
  <c r="K1124" i="1"/>
  <c r="J1124" i="1"/>
  <c r="I1124" i="1"/>
  <c r="H1124" i="1"/>
  <c r="L1123" i="1"/>
  <c r="K1123" i="1"/>
  <c r="J1123" i="1"/>
  <c r="I1123" i="1"/>
  <c r="H1123" i="1"/>
  <c r="L1122" i="1"/>
  <c r="K1122" i="1"/>
  <c r="J1122" i="1"/>
  <c r="I1122" i="1"/>
  <c r="H1122" i="1"/>
  <c r="L1121" i="1"/>
  <c r="K1121" i="1"/>
  <c r="J1121" i="1"/>
  <c r="I1121" i="1"/>
  <c r="H1121" i="1"/>
  <c r="L1120" i="1"/>
  <c r="K1120" i="1"/>
  <c r="J1120" i="1"/>
  <c r="I1120" i="1"/>
  <c r="H1120" i="1"/>
  <c r="L1119" i="1"/>
  <c r="K1119" i="1"/>
  <c r="J1119" i="1"/>
  <c r="I1119" i="1"/>
  <c r="H1119" i="1"/>
  <c r="L1118" i="1"/>
  <c r="K1118" i="1"/>
  <c r="J1118" i="1"/>
  <c r="I1118" i="1"/>
  <c r="H1118" i="1"/>
  <c r="L1117" i="1"/>
  <c r="K1117" i="1"/>
  <c r="J1117" i="1"/>
  <c r="I1117" i="1"/>
  <c r="H1117" i="1"/>
  <c r="L1116" i="1"/>
  <c r="K1116" i="1"/>
  <c r="J1116" i="1"/>
  <c r="I1116" i="1"/>
  <c r="H1116" i="1"/>
  <c r="L1115" i="1"/>
  <c r="K1115" i="1"/>
  <c r="J1115" i="1"/>
  <c r="I1115" i="1"/>
  <c r="H1115" i="1"/>
  <c r="L1114" i="1"/>
  <c r="K1114" i="1"/>
  <c r="J1114" i="1"/>
  <c r="I1114" i="1"/>
  <c r="H1114" i="1"/>
  <c r="L1113" i="1"/>
  <c r="K1113" i="1"/>
  <c r="J1113" i="1"/>
  <c r="I1113" i="1"/>
  <c r="H1113" i="1"/>
  <c r="L1112" i="1"/>
  <c r="K1112" i="1"/>
  <c r="J1112" i="1"/>
  <c r="I1112" i="1"/>
  <c r="H1112" i="1"/>
  <c r="L1111" i="1"/>
  <c r="K1111" i="1"/>
  <c r="J1111" i="1"/>
  <c r="I1111" i="1"/>
  <c r="H1111" i="1"/>
  <c r="L1110" i="1"/>
  <c r="K1110" i="1"/>
  <c r="J1110" i="1"/>
  <c r="I1110" i="1"/>
  <c r="H1110" i="1"/>
  <c r="L1109" i="1"/>
  <c r="K1109" i="1"/>
  <c r="J1109" i="1"/>
  <c r="I1109" i="1"/>
  <c r="H1109" i="1"/>
  <c r="L1108" i="1"/>
  <c r="K1108" i="1"/>
  <c r="J1108" i="1"/>
  <c r="I1108" i="1"/>
  <c r="H1108" i="1"/>
  <c r="L1107" i="1"/>
  <c r="K1107" i="1"/>
  <c r="J1107" i="1"/>
  <c r="I1107" i="1"/>
  <c r="H1107" i="1"/>
  <c r="L1106" i="1"/>
  <c r="K1106" i="1"/>
  <c r="J1106" i="1"/>
  <c r="I1106" i="1"/>
  <c r="H1106" i="1"/>
  <c r="L1105" i="1"/>
  <c r="K1105" i="1"/>
  <c r="J1105" i="1"/>
  <c r="I1105" i="1"/>
  <c r="H1105" i="1"/>
  <c r="L1104" i="1"/>
  <c r="K1104" i="1"/>
  <c r="J1104" i="1"/>
  <c r="I1104" i="1"/>
  <c r="H1104" i="1"/>
  <c r="L1103" i="1"/>
  <c r="K1103" i="1"/>
  <c r="J1103" i="1"/>
  <c r="I1103" i="1"/>
  <c r="H1103" i="1"/>
  <c r="L1102" i="1"/>
  <c r="K1102" i="1"/>
  <c r="J1102" i="1"/>
  <c r="I1102" i="1"/>
  <c r="H1102" i="1"/>
  <c r="L1101" i="1"/>
  <c r="K1101" i="1"/>
  <c r="J1101" i="1"/>
  <c r="I1101" i="1"/>
  <c r="H1101" i="1"/>
  <c r="L1100" i="1"/>
  <c r="K1100" i="1"/>
  <c r="J1100" i="1"/>
  <c r="I1100" i="1"/>
  <c r="H1100" i="1"/>
  <c r="L1099" i="1"/>
  <c r="K1099" i="1"/>
  <c r="J1099" i="1"/>
  <c r="I1099" i="1"/>
  <c r="H1099" i="1"/>
  <c r="L1098" i="1"/>
  <c r="K1098" i="1"/>
  <c r="J1098" i="1"/>
  <c r="I1098" i="1"/>
  <c r="H1098" i="1"/>
  <c r="L1097" i="1"/>
  <c r="K1097" i="1"/>
  <c r="J1097" i="1"/>
  <c r="I1097" i="1"/>
  <c r="H1097" i="1"/>
  <c r="L1096" i="1"/>
  <c r="K1096" i="1"/>
  <c r="J1096" i="1"/>
  <c r="I1096" i="1"/>
  <c r="H1096" i="1"/>
  <c r="L1095" i="1"/>
  <c r="K1095" i="1"/>
  <c r="J1095" i="1"/>
  <c r="I1095" i="1"/>
  <c r="H1095" i="1"/>
  <c r="L1094" i="1"/>
  <c r="K1094" i="1"/>
  <c r="J1094" i="1"/>
  <c r="I1094" i="1"/>
  <c r="H1094" i="1"/>
  <c r="L1093" i="1"/>
  <c r="K1093" i="1"/>
  <c r="J1093" i="1"/>
  <c r="I1093" i="1"/>
  <c r="H1093" i="1"/>
  <c r="L1092" i="1"/>
  <c r="K1092" i="1"/>
  <c r="J1092" i="1"/>
  <c r="I1092" i="1"/>
  <c r="H1092" i="1"/>
  <c r="L1091" i="1"/>
  <c r="K1091" i="1"/>
  <c r="J1091" i="1"/>
  <c r="I1091" i="1"/>
  <c r="H1091" i="1"/>
  <c r="L1090" i="1"/>
  <c r="K1090" i="1"/>
  <c r="J1090" i="1"/>
  <c r="I1090" i="1"/>
  <c r="H1090" i="1"/>
  <c r="L1089" i="1"/>
  <c r="K1089" i="1"/>
  <c r="J1089" i="1"/>
  <c r="I1089" i="1"/>
  <c r="H1089" i="1"/>
  <c r="L1088" i="1"/>
  <c r="K1088" i="1"/>
  <c r="J1088" i="1"/>
  <c r="I1088" i="1"/>
  <c r="H1088" i="1"/>
  <c r="L1087" i="1"/>
  <c r="K1087" i="1"/>
  <c r="J1087" i="1"/>
  <c r="I1087" i="1"/>
  <c r="H1087" i="1"/>
  <c r="L1086" i="1"/>
  <c r="K1086" i="1"/>
  <c r="J1086" i="1"/>
  <c r="I1086" i="1"/>
  <c r="H1086" i="1"/>
  <c r="L1085" i="1"/>
  <c r="K1085" i="1"/>
  <c r="J1085" i="1"/>
  <c r="I1085" i="1"/>
  <c r="H1085" i="1"/>
  <c r="L1084" i="1"/>
  <c r="K1084" i="1"/>
  <c r="J1084" i="1"/>
  <c r="I1084" i="1"/>
  <c r="H1084" i="1"/>
  <c r="L1083" i="1"/>
  <c r="K1083" i="1"/>
  <c r="J1083" i="1"/>
  <c r="I1083" i="1"/>
  <c r="H1083" i="1"/>
  <c r="L1082" i="1"/>
  <c r="K1082" i="1"/>
  <c r="J1082" i="1"/>
  <c r="I1082" i="1"/>
  <c r="H1082" i="1"/>
  <c r="L1081" i="1"/>
  <c r="K1081" i="1"/>
  <c r="J1081" i="1"/>
  <c r="I1081" i="1"/>
  <c r="H1081" i="1"/>
  <c r="L1080" i="1"/>
  <c r="K1080" i="1"/>
  <c r="J1080" i="1"/>
  <c r="I1080" i="1"/>
  <c r="H1080" i="1"/>
  <c r="L1079" i="1"/>
  <c r="K1079" i="1"/>
  <c r="J1079" i="1"/>
  <c r="I1079" i="1"/>
  <c r="H1079" i="1"/>
  <c r="L1078" i="1"/>
  <c r="K1078" i="1"/>
  <c r="J1078" i="1"/>
  <c r="I1078" i="1"/>
  <c r="H1078" i="1"/>
  <c r="L1077" i="1"/>
  <c r="K1077" i="1"/>
  <c r="J1077" i="1"/>
  <c r="I1077" i="1"/>
  <c r="H1077" i="1"/>
  <c r="L1076" i="1"/>
  <c r="K1076" i="1"/>
  <c r="J1076" i="1"/>
  <c r="I1076" i="1"/>
  <c r="H1076" i="1"/>
  <c r="L1075" i="1"/>
  <c r="K1075" i="1"/>
  <c r="J1075" i="1"/>
  <c r="I1075" i="1"/>
  <c r="H1075" i="1"/>
  <c r="L1074" i="1"/>
  <c r="K1074" i="1"/>
  <c r="J1074" i="1"/>
  <c r="I1074" i="1"/>
  <c r="H1074" i="1"/>
  <c r="L1073" i="1"/>
  <c r="K1073" i="1"/>
  <c r="J1073" i="1"/>
  <c r="I1073" i="1"/>
  <c r="H1073" i="1"/>
  <c r="L1072" i="1"/>
  <c r="K1072" i="1"/>
  <c r="J1072" i="1"/>
  <c r="I1072" i="1"/>
  <c r="H1072" i="1"/>
  <c r="L1071" i="1"/>
  <c r="K1071" i="1"/>
  <c r="J1071" i="1"/>
  <c r="I1071" i="1"/>
  <c r="H1071" i="1"/>
  <c r="L1070" i="1"/>
  <c r="K1070" i="1"/>
  <c r="J1070" i="1"/>
  <c r="I1070" i="1"/>
  <c r="H1070" i="1"/>
  <c r="L1069" i="1"/>
  <c r="K1069" i="1"/>
  <c r="J1069" i="1"/>
  <c r="I1069" i="1"/>
  <c r="H1069" i="1"/>
  <c r="L1068" i="1"/>
  <c r="K1068" i="1"/>
  <c r="J1068" i="1"/>
  <c r="I1068" i="1"/>
  <c r="H1068" i="1"/>
  <c r="L1067" i="1"/>
  <c r="K1067" i="1"/>
  <c r="J1067" i="1"/>
  <c r="I1067" i="1"/>
  <c r="H1067" i="1"/>
  <c r="L1066" i="1"/>
  <c r="K1066" i="1"/>
  <c r="J1066" i="1"/>
  <c r="I1066" i="1"/>
  <c r="H1066" i="1"/>
  <c r="L1065" i="1"/>
  <c r="K1065" i="1"/>
  <c r="J1065" i="1"/>
  <c r="I1065" i="1"/>
  <c r="H1065" i="1"/>
  <c r="L1064" i="1"/>
  <c r="K1064" i="1"/>
  <c r="J1064" i="1"/>
  <c r="I1064" i="1"/>
  <c r="H1064" i="1"/>
  <c r="L1063" i="1"/>
  <c r="K1063" i="1"/>
  <c r="J1063" i="1"/>
  <c r="I1063" i="1"/>
  <c r="H1063" i="1"/>
  <c r="L1062" i="1"/>
  <c r="K1062" i="1"/>
  <c r="J1062" i="1"/>
  <c r="I1062" i="1"/>
  <c r="H1062" i="1"/>
  <c r="L1061" i="1"/>
  <c r="K1061" i="1"/>
  <c r="J1061" i="1"/>
  <c r="I1061" i="1"/>
  <c r="H1061" i="1"/>
  <c r="L1060" i="1"/>
  <c r="K1060" i="1"/>
  <c r="J1060" i="1"/>
  <c r="I1060" i="1"/>
  <c r="H1060" i="1"/>
  <c r="L1059" i="1"/>
  <c r="K1059" i="1"/>
  <c r="J1059" i="1"/>
  <c r="I1059" i="1"/>
  <c r="H1059" i="1"/>
  <c r="L1058" i="1"/>
  <c r="K1058" i="1"/>
  <c r="J1058" i="1"/>
  <c r="I1058" i="1"/>
  <c r="H1058" i="1"/>
  <c r="L1057" i="1"/>
  <c r="K1057" i="1"/>
  <c r="J1057" i="1"/>
  <c r="I1057" i="1"/>
  <c r="H1057" i="1"/>
  <c r="L1056" i="1"/>
  <c r="K1056" i="1"/>
  <c r="J1056" i="1"/>
  <c r="I1056" i="1"/>
  <c r="H1056" i="1"/>
  <c r="L1055" i="1"/>
  <c r="K1055" i="1"/>
  <c r="J1055" i="1"/>
  <c r="I1055" i="1"/>
  <c r="H1055" i="1"/>
  <c r="L1054" i="1"/>
  <c r="K1054" i="1"/>
  <c r="J1054" i="1"/>
  <c r="I1054" i="1"/>
  <c r="H1054" i="1"/>
  <c r="L1053" i="1"/>
  <c r="K1053" i="1"/>
  <c r="J1053" i="1"/>
  <c r="I1053" i="1"/>
  <c r="H1053" i="1"/>
  <c r="L1052" i="1"/>
  <c r="K1052" i="1"/>
  <c r="J1052" i="1"/>
  <c r="I1052" i="1"/>
  <c r="H1052" i="1"/>
  <c r="L1051" i="1"/>
  <c r="K1051" i="1"/>
  <c r="J1051" i="1"/>
  <c r="I1051" i="1"/>
  <c r="H1051" i="1"/>
  <c r="L1050" i="1"/>
  <c r="K1050" i="1"/>
  <c r="J1050" i="1"/>
  <c r="I1050" i="1"/>
  <c r="H1050" i="1"/>
  <c r="L1049" i="1"/>
  <c r="K1049" i="1"/>
  <c r="J1049" i="1"/>
  <c r="I1049" i="1"/>
  <c r="H1049" i="1"/>
  <c r="L1048" i="1"/>
  <c r="K1048" i="1"/>
  <c r="J1048" i="1"/>
  <c r="I1048" i="1"/>
  <c r="H1048" i="1"/>
  <c r="L1047" i="1"/>
  <c r="K1047" i="1"/>
  <c r="J1047" i="1"/>
  <c r="I1047" i="1"/>
  <c r="H1047" i="1"/>
  <c r="L1046" i="1"/>
  <c r="K1046" i="1"/>
  <c r="J1046" i="1"/>
  <c r="I1046" i="1"/>
  <c r="H1046" i="1"/>
  <c r="L1045" i="1"/>
  <c r="K1045" i="1"/>
  <c r="J1045" i="1"/>
  <c r="I1045" i="1"/>
  <c r="H1045" i="1"/>
  <c r="L1044" i="1"/>
  <c r="K1044" i="1"/>
  <c r="J1044" i="1"/>
  <c r="I1044" i="1"/>
  <c r="H1044" i="1"/>
  <c r="L1043" i="1"/>
  <c r="K1043" i="1"/>
  <c r="J1043" i="1"/>
  <c r="I1043" i="1"/>
  <c r="H1043" i="1"/>
  <c r="L1042" i="1"/>
  <c r="K1042" i="1"/>
  <c r="J1042" i="1"/>
  <c r="I1042" i="1"/>
  <c r="H1042" i="1"/>
  <c r="L1041" i="1"/>
  <c r="K1041" i="1"/>
  <c r="J1041" i="1"/>
  <c r="I1041" i="1"/>
  <c r="H1041" i="1"/>
  <c r="L1040" i="1"/>
  <c r="K1040" i="1"/>
  <c r="J1040" i="1"/>
  <c r="I1040" i="1"/>
  <c r="H1040" i="1"/>
  <c r="L1039" i="1"/>
  <c r="K1039" i="1"/>
  <c r="J1039" i="1"/>
  <c r="I1039" i="1"/>
  <c r="H1039" i="1"/>
  <c r="L1038" i="1"/>
  <c r="K1038" i="1"/>
  <c r="J1038" i="1"/>
  <c r="I1038" i="1"/>
  <c r="H1038" i="1"/>
  <c r="L1037" i="1"/>
  <c r="K1037" i="1"/>
  <c r="J1037" i="1"/>
  <c r="I1037" i="1"/>
  <c r="H1037" i="1"/>
  <c r="L1036" i="1"/>
  <c r="K1036" i="1"/>
  <c r="J1036" i="1"/>
  <c r="I1036" i="1"/>
  <c r="H1036" i="1"/>
  <c r="L1035" i="1"/>
  <c r="K1035" i="1"/>
  <c r="J1035" i="1"/>
  <c r="I1035" i="1"/>
  <c r="H1035" i="1"/>
  <c r="L1034" i="1"/>
  <c r="K1034" i="1"/>
  <c r="J1034" i="1"/>
  <c r="I1034" i="1"/>
  <c r="H1034" i="1"/>
  <c r="L1033" i="1"/>
  <c r="K1033" i="1"/>
  <c r="J1033" i="1"/>
  <c r="I1033" i="1"/>
  <c r="H1033" i="1"/>
  <c r="L1032" i="1"/>
  <c r="K1032" i="1"/>
  <c r="J1032" i="1"/>
  <c r="I1032" i="1"/>
  <c r="H1032" i="1"/>
  <c r="L1031" i="1"/>
  <c r="K1031" i="1"/>
  <c r="J1031" i="1"/>
  <c r="I1031" i="1"/>
  <c r="H1031" i="1"/>
  <c r="L1030" i="1"/>
  <c r="K1030" i="1"/>
  <c r="J1030" i="1"/>
  <c r="I1030" i="1"/>
  <c r="H1030" i="1"/>
  <c r="L1029" i="1"/>
  <c r="K1029" i="1"/>
  <c r="J1029" i="1"/>
  <c r="I1029" i="1"/>
  <c r="H1029" i="1"/>
  <c r="L1028" i="1"/>
  <c r="K1028" i="1"/>
  <c r="J1028" i="1"/>
  <c r="I1028" i="1"/>
  <c r="H1028" i="1"/>
  <c r="L1027" i="1"/>
  <c r="K1027" i="1"/>
  <c r="J1027" i="1"/>
  <c r="I1027" i="1"/>
  <c r="H1027" i="1"/>
  <c r="L1026" i="1"/>
  <c r="K1026" i="1"/>
  <c r="J1026" i="1"/>
  <c r="I1026" i="1"/>
  <c r="H1026" i="1"/>
  <c r="L1025" i="1"/>
  <c r="K1025" i="1"/>
  <c r="J1025" i="1"/>
  <c r="I1025" i="1"/>
  <c r="H1025" i="1"/>
  <c r="L1024" i="1"/>
  <c r="K1024" i="1"/>
  <c r="J1024" i="1"/>
  <c r="I1024" i="1"/>
  <c r="H1024" i="1"/>
  <c r="L1023" i="1"/>
  <c r="K1023" i="1"/>
  <c r="J1023" i="1"/>
  <c r="I1023" i="1"/>
  <c r="H1023" i="1"/>
  <c r="L1022" i="1"/>
  <c r="K1022" i="1"/>
  <c r="J1022" i="1"/>
  <c r="I1022" i="1"/>
  <c r="H1022" i="1"/>
  <c r="L1021" i="1"/>
  <c r="K1021" i="1"/>
  <c r="J1021" i="1"/>
  <c r="I1021" i="1"/>
  <c r="H1021" i="1"/>
  <c r="L1020" i="1"/>
  <c r="K1020" i="1"/>
  <c r="J1020" i="1"/>
  <c r="I1020" i="1"/>
  <c r="H1020" i="1"/>
  <c r="L1019" i="1"/>
  <c r="K1019" i="1"/>
  <c r="J1019" i="1"/>
  <c r="I1019" i="1"/>
  <c r="H1019" i="1"/>
  <c r="L1018" i="1"/>
  <c r="K1018" i="1"/>
  <c r="J1018" i="1"/>
  <c r="I1018" i="1"/>
  <c r="H1018" i="1"/>
  <c r="L1017" i="1"/>
  <c r="K1017" i="1"/>
  <c r="J1017" i="1"/>
  <c r="I1017" i="1"/>
  <c r="H1017" i="1"/>
  <c r="L1016" i="1"/>
  <c r="K1016" i="1"/>
  <c r="J1016" i="1"/>
  <c r="I1016" i="1"/>
  <c r="H1016" i="1"/>
  <c r="L1015" i="1"/>
  <c r="K1015" i="1"/>
  <c r="J1015" i="1"/>
  <c r="I1015" i="1"/>
  <c r="H1015" i="1"/>
  <c r="L1014" i="1"/>
  <c r="K1014" i="1"/>
  <c r="J1014" i="1"/>
  <c r="I1014" i="1"/>
  <c r="H1014" i="1"/>
  <c r="L1013" i="1"/>
  <c r="K1013" i="1"/>
  <c r="J1013" i="1"/>
  <c r="I1013" i="1"/>
  <c r="H1013" i="1"/>
  <c r="L1012" i="1"/>
  <c r="K1012" i="1"/>
  <c r="J1012" i="1"/>
  <c r="I1012" i="1"/>
  <c r="H1012" i="1"/>
  <c r="L1011" i="1"/>
  <c r="K1011" i="1"/>
  <c r="J1011" i="1"/>
  <c r="I1011" i="1"/>
  <c r="H1011" i="1"/>
  <c r="L1010" i="1"/>
  <c r="K1010" i="1"/>
  <c r="J1010" i="1"/>
  <c r="I1010" i="1"/>
  <c r="H1010" i="1"/>
  <c r="L1009" i="1"/>
  <c r="K1009" i="1"/>
  <c r="J1009" i="1"/>
  <c r="I1009" i="1"/>
  <c r="H1009" i="1"/>
  <c r="L1008" i="1"/>
  <c r="K1008" i="1"/>
  <c r="J1008" i="1"/>
  <c r="I1008" i="1"/>
  <c r="H1008" i="1"/>
  <c r="L1007" i="1"/>
  <c r="K1007" i="1"/>
  <c r="J1007" i="1"/>
  <c r="I1007" i="1"/>
  <c r="H1007" i="1"/>
  <c r="L1006" i="1"/>
  <c r="K1006" i="1"/>
  <c r="J1006" i="1"/>
  <c r="I1006" i="1"/>
  <c r="H1006" i="1"/>
  <c r="L1005" i="1"/>
  <c r="K1005" i="1"/>
  <c r="J1005" i="1"/>
  <c r="I1005" i="1"/>
  <c r="H1005" i="1"/>
  <c r="L1004" i="1"/>
  <c r="K1004" i="1"/>
  <c r="J1004" i="1"/>
  <c r="I1004" i="1"/>
  <c r="H1004" i="1"/>
  <c r="L1003" i="1"/>
  <c r="K1003" i="1"/>
  <c r="J1003" i="1"/>
  <c r="I1003" i="1"/>
  <c r="H1003" i="1"/>
  <c r="L1002" i="1"/>
  <c r="K1002" i="1"/>
  <c r="J1002" i="1"/>
  <c r="I1002" i="1"/>
  <c r="H1002" i="1"/>
  <c r="L1001" i="1"/>
  <c r="K1001" i="1"/>
  <c r="J1001" i="1"/>
  <c r="I1001" i="1"/>
  <c r="H1001" i="1"/>
  <c r="L1000" i="1"/>
  <c r="K1000" i="1"/>
  <c r="J1000" i="1"/>
  <c r="I1000" i="1"/>
  <c r="H1000" i="1"/>
  <c r="L999" i="1"/>
  <c r="K999" i="1"/>
  <c r="J999" i="1"/>
  <c r="I999" i="1"/>
  <c r="H999" i="1"/>
  <c r="L998" i="1"/>
  <c r="K998" i="1"/>
  <c r="J998" i="1"/>
  <c r="I998" i="1"/>
  <c r="H998" i="1"/>
  <c r="L997" i="1"/>
  <c r="K997" i="1"/>
  <c r="J997" i="1"/>
  <c r="I997" i="1"/>
  <c r="H997" i="1"/>
  <c r="L996" i="1"/>
  <c r="K996" i="1"/>
  <c r="J996" i="1"/>
  <c r="I996" i="1"/>
  <c r="H996" i="1"/>
  <c r="L995" i="1"/>
  <c r="K995" i="1"/>
  <c r="J995" i="1"/>
  <c r="I995" i="1"/>
  <c r="H995" i="1"/>
  <c r="L994" i="1"/>
  <c r="K994" i="1"/>
  <c r="J994" i="1"/>
  <c r="I994" i="1"/>
  <c r="H994" i="1"/>
  <c r="L993" i="1"/>
  <c r="K993" i="1"/>
  <c r="J993" i="1"/>
  <c r="I993" i="1"/>
  <c r="H993" i="1"/>
  <c r="L992" i="1"/>
  <c r="K992" i="1"/>
  <c r="J992" i="1"/>
  <c r="I992" i="1"/>
  <c r="H992" i="1"/>
  <c r="L991" i="1"/>
  <c r="K991" i="1"/>
  <c r="J991" i="1"/>
  <c r="I991" i="1"/>
  <c r="H991" i="1"/>
  <c r="L990" i="1"/>
  <c r="K990" i="1"/>
  <c r="J990" i="1"/>
  <c r="I990" i="1"/>
  <c r="H990" i="1"/>
  <c r="L989" i="1"/>
  <c r="K989" i="1"/>
  <c r="J989" i="1"/>
  <c r="I989" i="1"/>
  <c r="H989" i="1"/>
  <c r="L988" i="1"/>
  <c r="K988" i="1"/>
  <c r="J988" i="1"/>
  <c r="I988" i="1"/>
  <c r="H988" i="1"/>
  <c r="L987" i="1"/>
  <c r="K987" i="1"/>
  <c r="J987" i="1"/>
  <c r="I987" i="1"/>
  <c r="H987" i="1"/>
  <c r="L986" i="1"/>
  <c r="K986" i="1"/>
  <c r="J986" i="1"/>
  <c r="I986" i="1"/>
  <c r="H986" i="1"/>
  <c r="L985" i="1"/>
  <c r="K985" i="1"/>
  <c r="J985" i="1"/>
  <c r="I985" i="1"/>
  <c r="H985" i="1"/>
  <c r="L984" i="1"/>
  <c r="K984" i="1"/>
  <c r="J984" i="1"/>
  <c r="I984" i="1"/>
  <c r="H984" i="1"/>
  <c r="L983" i="1"/>
  <c r="K983" i="1"/>
  <c r="J983" i="1"/>
  <c r="I983" i="1"/>
  <c r="H983" i="1"/>
  <c r="L982" i="1"/>
  <c r="K982" i="1"/>
  <c r="J982" i="1"/>
  <c r="I982" i="1"/>
  <c r="H982" i="1"/>
  <c r="L981" i="1"/>
  <c r="K981" i="1"/>
  <c r="J981" i="1"/>
  <c r="I981" i="1"/>
  <c r="H981" i="1"/>
  <c r="L980" i="1"/>
  <c r="K980" i="1"/>
  <c r="J980" i="1"/>
  <c r="I980" i="1"/>
  <c r="H980" i="1"/>
  <c r="L979" i="1"/>
  <c r="K979" i="1"/>
  <c r="J979" i="1"/>
  <c r="I979" i="1"/>
  <c r="H979" i="1"/>
  <c r="L978" i="1"/>
  <c r="K978" i="1"/>
  <c r="J978" i="1"/>
  <c r="I978" i="1"/>
  <c r="H978" i="1"/>
  <c r="L977" i="1"/>
  <c r="K977" i="1"/>
  <c r="J977" i="1"/>
  <c r="I977" i="1"/>
  <c r="H977" i="1"/>
  <c r="L976" i="1"/>
  <c r="K976" i="1"/>
  <c r="J976" i="1"/>
  <c r="I976" i="1"/>
  <c r="H976" i="1"/>
  <c r="L975" i="1"/>
  <c r="K975" i="1"/>
  <c r="J975" i="1"/>
  <c r="I975" i="1"/>
  <c r="H975" i="1"/>
  <c r="L974" i="1"/>
  <c r="K974" i="1"/>
  <c r="J974" i="1"/>
  <c r="I974" i="1"/>
  <c r="H974" i="1"/>
  <c r="L973" i="1"/>
  <c r="K973" i="1"/>
  <c r="J973" i="1"/>
  <c r="I973" i="1"/>
  <c r="H973" i="1"/>
  <c r="L972" i="1"/>
  <c r="K972" i="1"/>
  <c r="J972" i="1"/>
  <c r="I972" i="1"/>
  <c r="H972" i="1"/>
  <c r="L971" i="1"/>
  <c r="K971" i="1"/>
  <c r="J971" i="1"/>
  <c r="I971" i="1"/>
  <c r="H971" i="1"/>
  <c r="L970" i="1"/>
  <c r="K970" i="1"/>
  <c r="J970" i="1"/>
  <c r="I970" i="1"/>
  <c r="H970" i="1"/>
  <c r="L969" i="1"/>
  <c r="K969" i="1"/>
  <c r="J969" i="1"/>
  <c r="I969" i="1"/>
  <c r="H969" i="1"/>
  <c r="L968" i="1"/>
  <c r="K968" i="1"/>
  <c r="J968" i="1"/>
  <c r="I968" i="1"/>
  <c r="H968" i="1"/>
  <c r="L967" i="1"/>
  <c r="K967" i="1"/>
  <c r="J967" i="1"/>
  <c r="I967" i="1"/>
  <c r="H967" i="1"/>
  <c r="L966" i="1"/>
  <c r="K966" i="1"/>
  <c r="J966" i="1"/>
  <c r="I966" i="1"/>
  <c r="H966" i="1"/>
  <c r="L965" i="1"/>
  <c r="K965" i="1"/>
  <c r="J965" i="1"/>
  <c r="I965" i="1"/>
  <c r="H965" i="1"/>
  <c r="L964" i="1"/>
  <c r="K964" i="1"/>
  <c r="J964" i="1"/>
  <c r="I964" i="1"/>
  <c r="H964" i="1"/>
  <c r="L963" i="1"/>
  <c r="K963" i="1"/>
  <c r="J963" i="1"/>
  <c r="I963" i="1"/>
  <c r="H963" i="1"/>
  <c r="L962" i="1"/>
  <c r="K962" i="1"/>
  <c r="J962" i="1"/>
  <c r="I962" i="1"/>
  <c r="H962" i="1"/>
  <c r="L961" i="1"/>
  <c r="K961" i="1"/>
  <c r="J961" i="1"/>
  <c r="I961" i="1"/>
  <c r="H961" i="1"/>
  <c r="L960" i="1"/>
  <c r="K960" i="1"/>
  <c r="J960" i="1"/>
  <c r="I960" i="1"/>
  <c r="H960" i="1"/>
  <c r="L959" i="1"/>
  <c r="K959" i="1"/>
  <c r="J959" i="1"/>
  <c r="I959" i="1"/>
  <c r="H959" i="1"/>
  <c r="L958" i="1"/>
  <c r="K958" i="1"/>
  <c r="J958" i="1"/>
  <c r="I958" i="1"/>
  <c r="H958" i="1"/>
  <c r="L957" i="1"/>
  <c r="K957" i="1"/>
  <c r="J957" i="1"/>
  <c r="I957" i="1"/>
  <c r="H957" i="1"/>
  <c r="L956" i="1"/>
  <c r="K956" i="1"/>
  <c r="J956" i="1"/>
  <c r="I956" i="1"/>
  <c r="H956" i="1"/>
  <c r="L955" i="1"/>
  <c r="K955" i="1"/>
  <c r="J955" i="1"/>
  <c r="I955" i="1"/>
  <c r="H955" i="1"/>
  <c r="L954" i="1"/>
  <c r="K954" i="1"/>
  <c r="J954" i="1"/>
  <c r="I954" i="1"/>
  <c r="H954" i="1"/>
  <c r="L953" i="1"/>
  <c r="K953" i="1"/>
  <c r="J953" i="1"/>
  <c r="I953" i="1"/>
  <c r="H953" i="1"/>
  <c r="L952" i="1"/>
  <c r="K952" i="1"/>
  <c r="J952" i="1"/>
  <c r="I952" i="1"/>
  <c r="H952" i="1"/>
  <c r="L951" i="1"/>
  <c r="K951" i="1"/>
  <c r="J951" i="1"/>
  <c r="I951" i="1"/>
  <c r="H951" i="1"/>
  <c r="L950" i="1"/>
  <c r="K950" i="1"/>
  <c r="J950" i="1"/>
  <c r="I950" i="1"/>
  <c r="H950" i="1"/>
  <c r="L949" i="1"/>
  <c r="K949" i="1"/>
  <c r="J949" i="1"/>
  <c r="I949" i="1"/>
  <c r="H949" i="1"/>
  <c r="L948" i="1"/>
  <c r="K948" i="1"/>
  <c r="J948" i="1"/>
  <c r="I948" i="1"/>
  <c r="H948" i="1"/>
  <c r="L947" i="1"/>
  <c r="K947" i="1"/>
  <c r="J947" i="1"/>
  <c r="I947" i="1"/>
  <c r="H947" i="1"/>
  <c r="L946" i="1"/>
  <c r="K946" i="1"/>
  <c r="J946" i="1"/>
  <c r="I946" i="1"/>
  <c r="H946" i="1"/>
  <c r="L945" i="1"/>
  <c r="K945" i="1"/>
  <c r="J945" i="1"/>
  <c r="I945" i="1"/>
  <c r="H945" i="1"/>
  <c r="L944" i="1"/>
  <c r="K944" i="1"/>
  <c r="J944" i="1"/>
  <c r="I944" i="1"/>
  <c r="H944" i="1"/>
  <c r="L943" i="1"/>
  <c r="K943" i="1"/>
  <c r="J943" i="1"/>
  <c r="I943" i="1"/>
  <c r="H943" i="1"/>
  <c r="L942" i="1"/>
  <c r="K942" i="1"/>
  <c r="J942" i="1"/>
  <c r="I942" i="1"/>
  <c r="H942" i="1"/>
  <c r="L941" i="1"/>
  <c r="K941" i="1"/>
  <c r="J941" i="1"/>
  <c r="I941" i="1"/>
  <c r="H941" i="1"/>
  <c r="L940" i="1"/>
  <c r="K940" i="1"/>
  <c r="J940" i="1"/>
  <c r="I940" i="1"/>
  <c r="H940" i="1"/>
  <c r="L939" i="1"/>
  <c r="K939" i="1"/>
  <c r="J939" i="1"/>
  <c r="I939" i="1"/>
  <c r="H939" i="1"/>
  <c r="L938" i="1"/>
  <c r="K938" i="1"/>
  <c r="J938" i="1"/>
  <c r="I938" i="1"/>
  <c r="H938" i="1"/>
  <c r="L937" i="1"/>
  <c r="K937" i="1"/>
  <c r="J937" i="1"/>
  <c r="I937" i="1"/>
  <c r="H937" i="1"/>
  <c r="L936" i="1"/>
  <c r="K936" i="1"/>
  <c r="J936" i="1"/>
  <c r="I936" i="1"/>
  <c r="H936" i="1"/>
  <c r="L935" i="1"/>
  <c r="K935" i="1"/>
  <c r="J935" i="1"/>
  <c r="I935" i="1"/>
  <c r="H935" i="1"/>
  <c r="L934" i="1"/>
  <c r="K934" i="1"/>
  <c r="J934" i="1"/>
  <c r="I934" i="1"/>
  <c r="H934" i="1"/>
  <c r="L933" i="1"/>
  <c r="K933" i="1"/>
  <c r="J933" i="1"/>
  <c r="I933" i="1"/>
  <c r="H933" i="1"/>
  <c r="L932" i="1"/>
  <c r="K932" i="1"/>
  <c r="J932" i="1"/>
  <c r="I932" i="1"/>
  <c r="H932" i="1"/>
  <c r="L931" i="1"/>
  <c r="K931" i="1"/>
  <c r="J931" i="1"/>
  <c r="I931" i="1"/>
  <c r="H931" i="1"/>
  <c r="L930" i="1"/>
  <c r="K930" i="1"/>
  <c r="J930" i="1"/>
  <c r="I930" i="1"/>
  <c r="H930" i="1"/>
  <c r="L929" i="1"/>
  <c r="K929" i="1"/>
  <c r="J929" i="1"/>
  <c r="I929" i="1"/>
  <c r="H929" i="1"/>
  <c r="L928" i="1"/>
  <c r="K928" i="1"/>
  <c r="J928" i="1"/>
  <c r="I928" i="1"/>
  <c r="H928" i="1"/>
  <c r="L927" i="1"/>
  <c r="K927" i="1"/>
  <c r="J927" i="1"/>
  <c r="I927" i="1"/>
  <c r="H927" i="1"/>
  <c r="L926" i="1"/>
  <c r="K926" i="1"/>
  <c r="J926" i="1"/>
  <c r="I926" i="1"/>
  <c r="H926" i="1"/>
  <c r="L925" i="1"/>
  <c r="K925" i="1"/>
  <c r="J925" i="1"/>
  <c r="I925" i="1"/>
  <c r="H925" i="1"/>
  <c r="L924" i="1"/>
  <c r="K924" i="1"/>
  <c r="J924" i="1"/>
  <c r="I924" i="1"/>
  <c r="H924" i="1"/>
  <c r="L923" i="1"/>
  <c r="K923" i="1"/>
  <c r="J923" i="1"/>
  <c r="I923" i="1"/>
  <c r="H923" i="1"/>
  <c r="L922" i="1"/>
  <c r="K922" i="1"/>
  <c r="J922" i="1"/>
  <c r="I922" i="1"/>
  <c r="H922" i="1"/>
  <c r="L921" i="1"/>
  <c r="K921" i="1"/>
  <c r="J921" i="1"/>
  <c r="I921" i="1"/>
  <c r="H921" i="1"/>
  <c r="L920" i="1"/>
  <c r="K920" i="1"/>
  <c r="J920" i="1"/>
  <c r="I920" i="1"/>
  <c r="H920" i="1"/>
  <c r="L919" i="1"/>
  <c r="K919" i="1"/>
  <c r="J919" i="1"/>
  <c r="I919" i="1"/>
  <c r="H919" i="1"/>
  <c r="L918" i="1"/>
  <c r="K918" i="1"/>
  <c r="J918" i="1"/>
  <c r="I918" i="1"/>
  <c r="H918" i="1"/>
  <c r="L917" i="1"/>
  <c r="K917" i="1"/>
  <c r="J917" i="1"/>
  <c r="I917" i="1"/>
  <c r="H917" i="1"/>
  <c r="L916" i="1"/>
  <c r="K916" i="1"/>
  <c r="J916" i="1"/>
  <c r="I916" i="1"/>
  <c r="H916" i="1"/>
  <c r="L915" i="1"/>
  <c r="K915" i="1"/>
  <c r="J915" i="1"/>
  <c r="I915" i="1"/>
  <c r="H915" i="1"/>
  <c r="L914" i="1"/>
  <c r="K914" i="1"/>
  <c r="J914" i="1"/>
  <c r="I914" i="1"/>
  <c r="H914" i="1"/>
  <c r="L913" i="1"/>
  <c r="K913" i="1"/>
  <c r="J913" i="1"/>
  <c r="I913" i="1"/>
  <c r="H913" i="1"/>
  <c r="L912" i="1"/>
  <c r="K912" i="1"/>
  <c r="J912" i="1"/>
  <c r="I912" i="1"/>
  <c r="H912" i="1"/>
  <c r="L911" i="1"/>
  <c r="K911" i="1"/>
  <c r="J911" i="1"/>
  <c r="I911" i="1"/>
  <c r="H911" i="1"/>
  <c r="L910" i="1"/>
  <c r="K910" i="1"/>
  <c r="J910" i="1"/>
  <c r="I910" i="1"/>
  <c r="H910" i="1"/>
  <c r="L909" i="1"/>
  <c r="K909" i="1"/>
  <c r="J909" i="1"/>
  <c r="I909" i="1"/>
  <c r="H909" i="1"/>
  <c r="L908" i="1"/>
  <c r="K908" i="1"/>
  <c r="J908" i="1"/>
  <c r="I908" i="1"/>
  <c r="H908" i="1"/>
  <c r="L907" i="1"/>
  <c r="K907" i="1"/>
  <c r="J907" i="1"/>
  <c r="I907" i="1"/>
  <c r="H907" i="1"/>
  <c r="L906" i="1"/>
  <c r="K906" i="1"/>
  <c r="J906" i="1"/>
  <c r="I906" i="1"/>
  <c r="H906" i="1"/>
  <c r="L905" i="1"/>
  <c r="K905" i="1"/>
  <c r="J905" i="1"/>
  <c r="I905" i="1"/>
  <c r="H905" i="1"/>
  <c r="L904" i="1"/>
  <c r="K904" i="1"/>
  <c r="J904" i="1"/>
  <c r="I904" i="1"/>
  <c r="H904" i="1"/>
  <c r="L903" i="1"/>
  <c r="K903" i="1"/>
  <c r="J903" i="1"/>
  <c r="I903" i="1"/>
  <c r="H903" i="1"/>
  <c r="L902" i="1"/>
  <c r="K902" i="1"/>
  <c r="J902" i="1"/>
  <c r="I902" i="1"/>
  <c r="H902" i="1"/>
  <c r="L901" i="1"/>
  <c r="K901" i="1"/>
  <c r="J901" i="1"/>
  <c r="I901" i="1"/>
  <c r="H901" i="1"/>
  <c r="L900" i="1"/>
  <c r="K900" i="1"/>
  <c r="J900" i="1"/>
  <c r="I900" i="1"/>
  <c r="H900" i="1"/>
  <c r="L899" i="1"/>
  <c r="K899" i="1"/>
  <c r="J899" i="1"/>
  <c r="I899" i="1"/>
  <c r="H899" i="1"/>
  <c r="L898" i="1"/>
  <c r="K898" i="1"/>
  <c r="J898" i="1"/>
  <c r="I898" i="1"/>
  <c r="H898" i="1"/>
  <c r="L897" i="1"/>
  <c r="K897" i="1"/>
  <c r="J897" i="1"/>
  <c r="I897" i="1"/>
  <c r="H897" i="1"/>
  <c r="L896" i="1"/>
  <c r="K896" i="1"/>
  <c r="J896" i="1"/>
  <c r="I896" i="1"/>
  <c r="H896" i="1"/>
  <c r="L895" i="1"/>
  <c r="K895" i="1"/>
  <c r="J895" i="1"/>
  <c r="I895" i="1"/>
  <c r="H895" i="1"/>
  <c r="L894" i="1"/>
  <c r="K894" i="1"/>
  <c r="J894" i="1"/>
  <c r="I894" i="1"/>
  <c r="H894" i="1"/>
  <c r="L893" i="1"/>
  <c r="K893" i="1"/>
  <c r="J893" i="1"/>
  <c r="I893" i="1"/>
  <c r="H893" i="1"/>
  <c r="L892" i="1"/>
  <c r="K892" i="1"/>
  <c r="J892" i="1"/>
  <c r="I892" i="1"/>
  <c r="H892" i="1"/>
  <c r="L891" i="1"/>
  <c r="K891" i="1"/>
  <c r="J891" i="1"/>
  <c r="I891" i="1"/>
  <c r="H891" i="1"/>
  <c r="L890" i="1"/>
  <c r="K890" i="1"/>
  <c r="J890" i="1"/>
  <c r="I890" i="1"/>
  <c r="H890" i="1"/>
  <c r="L889" i="1"/>
  <c r="K889" i="1"/>
  <c r="J889" i="1"/>
  <c r="I889" i="1"/>
  <c r="H889" i="1"/>
  <c r="L888" i="1"/>
  <c r="K888" i="1"/>
  <c r="J888" i="1"/>
  <c r="I888" i="1"/>
  <c r="H888" i="1"/>
  <c r="L887" i="1"/>
  <c r="K887" i="1"/>
  <c r="J887" i="1"/>
  <c r="I887" i="1"/>
  <c r="H887" i="1"/>
  <c r="L886" i="1"/>
  <c r="K886" i="1"/>
  <c r="J886" i="1"/>
  <c r="I886" i="1"/>
  <c r="H886" i="1"/>
  <c r="L885" i="1"/>
  <c r="K885" i="1"/>
  <c r="J885" i="1"/>
  <c r="I885" i="1"/>
  <c r="H885" i="1"/>
  <c r="L884" i="1"/>
  <c r="K884" i="1"/>
  <c r="J884" i="1"/>
  <c r="I884" i="1"/>
  <c r="H884" i="1"/>
  <c r="L883" i="1"/>
  <c r="K883" i="1"/>
  <c r="J883" i="1"/>
  <c r="I883" i="1"/>
  <c r="H883" i="1"/>
  <c r="L882" i="1"/>
  <c r="K882" i="1"/>
  <c r="J882" i="1"/>
  <c r="I882" i="1"/>
  <c r="H882" i="1"/>
  <c r="L881" i="1"/>
  <c r="K881" i="1"/>
  <c r="J881" i="1"/>
  <c r="I881" i="1"/>
  <c r="H881" i="1"/>
  <c r="L880" i="1"/>
  <c r="K880" i="1"/>
  <c r="J880" i="1"/>
  <c r="I880" i="1"/>
  <c r="H880" i="1"/>
  <c r="L879" i="1"/>
  <c r="K879" i="1"/>
  <c r="J879" i="1"/>
  <c r="I879" i="1"/>
  <c r="H879" i="1"/>
  <c r="L878" i="1"/>
  <c r="K878" i="1"/>
  <c r="J878" i="1"/>
  <c r="I878" i="1"/>
  <c r="H878" i="1"/>
  <c r="L877" i="1"/>
  <c r="K877" i="1"/>
  <c r="J877" i="1"/>
  <c r="I877" i="1"/>
  <c r="H877" i="1"/>
  <c r="L876" i="1"/>
  <c r="K876" i="1"/>
  <c r="J876" i="1"/>
  <c r="I876" i="1"/>
  <c r="H876" i="1"/>
  <c r="L875" i="1"/>
  <c r="K875" i="1"/>
  <c r="J875" i="1"/>
  <c r="I875" i="1"/>
  <c r="H875" i="1"/>
  <c r="L874" i="1"/>
  <c r="K874" i="1"/>
  <c r="J874" i="1"/>
  <c r="I874" i="1"/>
  <c r="H874" i="1"/>
  <c r="L873" i="1"/>
  <c r="K873" i="1"/>
  <c r="J873" i="1"/>
  <c r="I873" i="1"/>
  <c r="H873" i="1"/>
  <c r="L872" i="1"/>
  <c r="K872" i="1"/>
  <c r="J872" i="1"/>
  <c r="I872" i="1"/>
  <c r="H872" i="1"/>
  <c r="L871" i="1"/>
  <c r="K871" i="1"/>
  <c r="J871" i="1"/>
  <c r="I871" i="1"/>
  <c r="H871" i="1"/>
  <c r="L870" i="1"/>
  <c r="K870" i="1"/>
  <c r="J870" i="1"/>
  <c r="I870" i="1"/>
  <c r="H870" i="1"/>
  <c r="L869" i="1"/>
  <c r="K869" i="1"/>
  <c r="J869" i="1"/>
  <c r="I869" i="1"/>
  <c r="H869" i="1"/>
  <c r="L868" i="1"/>
  <c r="K868" i="1"/>
  <c r="J868" i="1"/>
  <c r="I868" i="1"/>
  <c r="H868" i="1"/>
  <c r="L867" i="1"/>
  <c r="K867" i="1"/>
  <c r="J867" i="1"/>
  <c r="I867" i="1"/>
  <c r="H867" i="1"/>
  <c r="L866" i="1"/>
  <c r="K866" i="1"/>
  <c r="J866" i="1"/>
  <c r="I866" i="1"/>
  <c r="H866" i="1"/>
  <c r="L865" i="1"/>
  <c r="K865" i="1"/>
  <c r="J865" i="1"/>
  <c r="I865" i="1"/>
  <c r="H865" i="1"/>
  <c r="L864" i="1"/>
  <c r="K864" i="1"/>
  <c r="J864" i="1"/>
  <c r="I864" i="1"/>
  <c r="H864" i="1"/>
  <c r="L863" i="1"/>
  <c r="K863" i="1"/>
  <c r="J863" i="1"/>
  <c r="I863" i="1"/>
  <c r="H863" i="1"/>
  <c r="L862" i="1"/>
  <c r="K862" i="1"/>
  <c r="J862" i="1"/>
  <c r="I862" i="1"/>
  <c r="H862" i="1"/>
  <c r="L861" i="1"/>
  <c r="K861" i="1"/>
  <c r="J861" i="1"/>
  <c r="I861" i="1"/>
  <c r="H861" i="1"/>
  <c r="L860" i="1"/>
  <c r="K860" i="1"/>
  <c r="J860" i="1"/>
  <c r="I860" i="1"/>
  <c r="H860" i="1"/>
  <c r="L859" i="1"/>
  <c r="K859" i="1"/>
  <c r="J859" i="1"/>
  <c r="I859" i="1"/>
  <c r="H859" i="1"/>
  <c r="L858" i="1"/>
  <c r="K858" i="1"/>
  <c r="J858" i="1"/>
  <c r="I858" i="1"/>
  <c r="H858" i="1"/>
  <c r="L857" i="1"/>
  <c r="K857" i="1"/>
  <c r="J857" i="1"/>
  <c r="I857" i="1"/>
  <c r="H857" i="1"/>
  <c r="L856" i="1"/>
  <c r="K856" i="1"/>
  <c r="J856" i="1"/>
  <c r="I856" i="1"/>
  <c r="H856" i="1"/>
  <c r="L855" i="1"/>
  <c r="K855" i="1"/>
  <c r="J855" i="1"/>
  <c r="I855" i="1"/>
  <c r="H855" i="1"/>
  <c r="L854" i="1"/>
  <c r="K854" i="1"/>
  <c r="J854" i="1"/>
  <c r="I854" i="1"/>
  <c r="H854" i="1"/>
  <c r="L853" i="1"/>
  <c r="K853" i="1"/>
  <c r="J853" i="1"/>
  <c r="I853" i="1"/>
  <c r="H853" i="1"/>
  <c r="L852" i="1"/>
  <c r="K852" i="1"/>
  <c r="J852" i="1"/>
  <c r="I852" i="1"/>
  <c r="H852" i="1"/>
  <c r="L851" i="1"/>
  <c r="K851" i="1"/>
  <c r="J851" i="1"/>
  <c r="I851" i="1"/>
  <c r="H851" i="1"/>
  <c r="L850" i="1"/>
  <c r="K850" i="1"/>
  <c r="J850" i="1"/>
  <c r="I850" i="1"/>
  <c r="H850" i="1"/>
  <c r="L849" i="1"/>
  <c r="K849" i="1"/>
  <c r="J849" i="1"/>
  <c r="I849" i="1"/>
  <c r="H849" i="1"/>
  <c r="L848" i="1"/>
  <c r="K848" i="1"/>
  <c r="J848" i="1"/>
  <c r="I848" i="1"/>
  <c r="H848" i="1"/>
  <c r="L847" i="1"/>
  <c r="K847" i="1"/>
  <c r="J847" i="1"/>
  <c r="I847" i="1"/>
  <c r="H847" i="1"/>
  <c r="L846" i="1"/>
  <c r="K846" i="1"/>
  <c r="J846" i="1"/>
  <c r="I846" i="1"/>
  <c r="H846" i="1"/>
  <c r="L845" i="1"/>
  <c r="K845" i="1"/>
  <c r="J845" i="1"/>
  <c r="I845" i="1"/>
  <c r="H845" i="1"/>
  <c r="L844" i="1"/>
  <c r="K844" i="1"/>
  <c r="J844" i="1"/>
  <c r="I844" i="1"/>
  <c r="H844" i="1"/>
  <c r="L843" i="1"/>
  <c r="K843" i="1"/>
  <c r="J843" i="1"/>
  <c r="I843" i="1"/>
  <c r="H843" i="1"/>
  <c r="L842" i="1"/>
  <c r="K842" i="1"/>
  <c r="J842" i="1"/>
  <c r="I842" i="1"/>
  <c r="H842" i="1"/>
  <c r="L841" i="1"/>
  <c r="K841" i="1"/>
  <c r="J841" i="1"/>
  <c r="I841" i="1"/>
  <c r="H841" i="1"/>
  <c r="L840" i="1"/>
  <c r="K840" i="1"/>
  <c r="J840" i="1"/>
  <c r="I840" i="1"/>
  <c r="H840" i="1"/>
  <c r="L839" i="1"/>
  <c r="K839" i="1"/>
  <c r="J839" i="1"/>
  <c r="I839" i="1"/>
  <c r="H839" i="1"/>
  <c r="L838" i="1"/>
  <c r="K838" i="1"/>
  <c r="J838" i="1"/>
  <c r="I838" i="1"/>
  <c r="H838" i="1"/>
  <c r="L837" i="1"/>
  <c r="K837" i="1"/>
  <c r="J837" i="1"/>
  <c r="I837" i="1"/>
  <c r="H837" i="1"/>
  <c r="L836" i="1"/>
  <c r="K836" i="1"/>
  <c r="J836" i="1"/>
  <c r="I836" i="1"/>
  <c r="H836" i="1"/>
  <c r="L835" i="1"/>
  <c r="K835" i="1"/>
  <c r="J835" i="1"/>
  <c r="I835" i="1"/>
  <c r="H835" i="1"/>
  <c r="L834" i="1"/>
  <c r="K834" i="1"/>
  <c r="J834" i="1"/>
  <c r="I834" i="1"/>
  <c r="H834" i="1"/>
  <c r="L833" i="1"/>
  <c r="K833" i="1"/>
  <c r="J833" i="1"/>
  <c r="I833" i="1"/>
  <c r="H833" i="1"/>
  <c r="L832" i="1"/>
  <c r="K832" i="1"/>
  <c r="J832" i="1"/>
  <c r="I832" i="1"/>
  <c r="H832" i="1"/>
  <c r="L831" i="1"/>
  <c r="K831" i="1"/>
  <c r="J831" i="1"/>
  <c r="I831" i="1"/>
  <c r="H831" i="1"/>
  <c r="L830" i="1"/>
  <c r="K830" i="1"/>
  <c r="J830" i="1"/>
  <c r="I830" i="1"/>
  <c r="H830" i="1"/>
  <c r="L829" i="1"/>
  <c r="K829" i="1"/>
  <c r="J829" i="1"/>
  <c r="I829" i="1"/>
  <c r="H829" i="1"/>
  <c r="L828" i="1"/>
  <c r="K828" i="1"/>
  <c r="J828" i="1"/>
  <c r="I828" i="1"/>
  <c r="H828" i="1"/>
  <c r="L827" i="1"/>
  <c r="K827" i="1"/>
  <c r="J827" i="1"/>
  <c r="I827" i="1"/>
  <c r="H827" i="1"/>
  <c r="L826" i="1"/>
  <c r="K826" i="1"/>
  <c r="J826" i="1"/>
  <c r="I826" i="1"/>
  <c r="H826" i="1"/>
  <c r="L825" i="1"/>
  <c r="K825" i="1"/>
  <c r="J825" i="1"/>
  <c r="I825" i="1"/>
  <c r="H825" i="1"/>
  <c r="L824" i="1"/>
  <c r="K824" i="1"/>
  <c r="J824" i="1"/>
  <c r="I824" i="1"/>
  <c r="H824" i="1"/>
  <c r="L823" i="1"/>
  <c r="K823" i="1"/>
  <c r="J823" i="1"/>
  <c r="I823" i="1"/>
  <c r="H823" i="1"/>
  <c r="L822" i="1"/>
  <c r="K822" i="1"/>
  <c r="J822" i="1"/>
  <c r="I822" i="1"/>
  <c r="H822" i="1"/>
  <c r="L821" i="1"/>
  <c r="K821" i="1"/>
  <c r="J821" i="1"/>
  <c r="I821" i="1"/>
  <c r="H821" i="1"/>
  <c r="L820" i="1"/>
  <c r="K820" i="1"/>
  <c r="J820" i="1"/>
  <c r="I820" i="1"/>
  <c r="H820" i="1"/>
  <c r="L819" i="1"/>
  <c r="K819" i="1"/>
  <c r="J819" i="1"/>
  <c r="I819" i="1"/>
  <c r="H819" i="1"/>
  <c r="L818" i="1"/>
  <c r="K818" i="1"/>
  <c r="J818" i="1"/>
  <c r="I818" i="1"/>
  <c r="H818" i="1"/>
  <c r="L817" i="1"/>
  <c r="K817" i="1"/>
  <c r="J817" i="1"/>
  <c r="I817" i="1"/>
  <c r="H817" i="1"/>
  <c r="L816" i="1"/>
  <c r="K816" i="1"/>
  <c r="J816" i="1"/>
  <c r="I816" i="1"/>
  <c r="H816" i="1"/>
  <c r="L815" i="1"/>
  <c r="K815" i="1"/>
  <c r="J815" i="1"/>
  <c r="I815" i="1"/>
  <c r="H815" i="1"/>
  <c r="L814" i="1"/>
  <c r="K814" i="1"/>
  <c r="J814" i="1"/>
  <c r="I814" i="1"/>
  <c r="H814" i="1"/>
  <c r="L813" i="1"/>
  <c r="K813" i="1"/>
  <c r="J813" i="1"/>
  <c r="I813" i="1"/>
  <c r="H813" i="1"/>
  <c r="L812" i="1"/>
  <c r="K812" i="1"/>
  <c r="J812" i="1"/>
  <c r="I812" i="1"/>
  <c r="H812" i="1"/>
  <c r="L811" i="1"/>
  <c r="K811" i="1"/>
  <c r="J811" i="1"/>
  <c r="I811" i="1"/>
  <c r="H811" i="1"/>
  <c r="L810" i="1"/>
  <c r="K810" i="1"/>
  <c r="J810" i="1"/>
  <c r="I810" i="1"/>
  <c r="H810" i="1"/>
  <c r="L809" i="1"/>
  <c r="K809" i="1"/>
  <c r="J809" i="1"/>
  <c r="I809" i="1"/>
  <c r="H809" i="1"/>
  <c r="L808" i="1"/>
  <c r="K808" i="1"/>
  <c r="J808" i="1"/>
  <c r="I808" i="1"/>
  <c r="H808" i="1"/>
  <c r="L807" i="1"/>
  <c r="K807" i="1"/>
  <c r="J807" i="1"/>
  <c r="I807" i="1"/>
  <c r="H807" i="1"/>
  <c r="L806" i="1"/>
  <c r="K806" i="1"/>
  <c r="J806" i="1"/>
  <c r="I806" i="1"/>
  <c r="H806" i="1"/>
  <c r="L805" i="1"/>
  <c r="K805" i="1"/>
  <c r="J805" i="1"/>
  <c r="I805" i="1"/>
  <c r="H805" i="1"/>
  <c r="L804" i="1"/>
  <c r="K804" i="1"/>
  <c r="J804" i="1"/>
  <c r="I804" i="1"/>
  <c r="H804" i="1"/>
  <c r="L803" i="1"/>
  <c r="K803" i="1"/>
  <c r="J803" i="1"/>
  <c r="I803" i="1"/>
  <c r="H803" i="1"/>
  <c r="L802" i="1"/>
  <c r="K802" i="1"/>
  <c r="J802" i="1"/>
  <c r="I802" i="1"/>
  <c r="H802" i="1"/>
  <c r="L801" i="1"/>
  <c r="K801" i="1"/>
  <c r="J801" i="1"/>
  <c r="I801" i="1"/>
  <c r="H801" i="1"/>
  <c r="L800" i="1"/>
  <c r="K800" i="1"/>
  <c r="J800" i="1"/>
  <c r="I800" i="1"/>
  <c r="H800" i="1"/>
  <c r="L799" i="1"/>
  <c r="K799" i="1"/>
  <c r="J799" i="1"/>
  <c r="I799" i="1"/>
  <c r="H799" i="1"/>
  <c r="L798" i="1"/>
  <c r="K798" i="1"/>
  <c r="J798" i="1"/>
  <c r="I798" i="1"/>
  <c r="H798" i="1"/>
  <c r="L797" i="1"/>
  <c r="K797" i="1"/>
  <c r="J797" i="1"/>
  <c r="I797" i="1"/>
  <c r="H797" i="1"/>
  <c r="L796" i="1"/>
  <c r="K796" i="1"/>
  <c r="J796" i="1"/>
  <c r="I796" i="1"/>
  <c r="H796" i="1"/>
  <c r="L795" i="1"/>
  <c r="K795" i="1"/>
  <c r="J795" i="1"/>
  <c r="I795" i="1"/>
  <c r="H795" i="1"/>
  <c r="L794" i="1"/>
  <c r="K794" i="1"/>
  <c r="J794" i="1"/>
  <c r="I794" i="1"/>
  <c r="H794" i="1"/>
  <c r="L793" i="1"/>
  <c r="K793" i="1"/>
  <c r="J793" i="1"/>
  <c r="I793" i="1"/>
  <c r="H793" i="1"/>
  <c r="L792" i="1"/>
  <c r="K792" i="1"/>
  <c r="J792" i="1"/>
  <c r="I792" i="1"/>
  <c r="H792" i="1"/>
  <c r="L791" i="1"/>
  <c r="K791" i="1"/>
  <c r="J791" i="1"/>
  <c r="I791" i="1"/>
  <c r="H791" i="1"/>
  <c r="L790" i="1"/>
  <c r="K790" i="1"/>
  <c r="J790" i="1"/>
  <c r="I790" i="1"/>
  <c r="H790" i="1"/>
  <c r="L789" i="1"/>
  <c r="K789" i="1"/>
  <c r="J789" i="1"/>
  <c r="I789" i="1"/>
  <c r="H789" i="1"/>
  <c r="L788" i="1"/>
  <c r="K788" i="1"/>
  <c r="J788" i="1"/>
  <c r="I788" i="1"/>
  <c r="H788" i="1"/>
  <c r="L787" i="1"/>
  <c r="K787" i="1"/>
  <c r="J787" i="1"/>
  <c r="I787" i="1"/>
  <c r="H787" i="1"/>
  <c r="L786" i="1"/>
  <c r="K786" i="1"/>
  <c r="J786" i="1"/>
  <c r="I786" i="1"/>
  <c r="H786" i="1"/>
  <c r="L785" i="1"/>
  <c r="K785" i="1"/>
  <c r="J785" i="1"/>
  <c r="I785" i="1"/>
  <c r="H785" i="1"/>
  <c r="L784" i="1"/>
  <c r="K784" i="1"/>
  <c r="J784" i="1"/>
  <c r="I784" i="1"/>
  <c r="H784" i="1"/>
  <c r="L783" i="1"/>
  <c r="K783" i="1"/>
  <c r="J783" i="1"/>
  <c r="I783" i="1"/>
  <c r="H783" i="1"/>
  <c r="L782" i="1"/>
  <c r="K782" i="1"/>
  <c r="J782" i="1"/>
  <c r="I782" i="1"/>
  <c r="H782" i="1"/>
  <c r="L781" i="1"/>
  <c r="K781" i="1"/>
  <c r="J781" i="1"/>
  <c r="I781" i="1"/>
  <c r="H781" i="1"/>
  <c r="L780" i="1"/>
  <c r="K780" i="1"/>
  <c r="J780" i="1"/>
  <c r="I780" i="1"/>
  <c r="H780" i="1"/>
  <c r="L779" i="1"/>
  <c r="K779" i="1"/>
  <c r="J779" i="1"/>
  <c r="I779" i="1"/>
  <c r="H779" i="1"/>
  <c r="L778" i="1"/>
  <c r="K778" i="1"/>
  <c r="J778" i="1"/>
  <c r="I778" i="1"/>
  <c r="H778" i="1"/>
  <c r="L777" i="1"/>
  <c r="K777" i="1"/>
  <c r="J777" i="1"/>
  <c r="I777" i="1"/>
  <c r="H777" i="1"/>
  <c r="L776" i="1"/>
  <c r="K776" i="1"/>
  <c r="J776" i="1"/>
  <c r="I776" i="1"/>
  <c r="H776" i="1"/>
  <c r="L775" i="1"/>
  <c r="K775" i="1"/>
  <c r="J775" i="1"/>
  <c r="I775" i="1"/>
  <c r="H775" i="1"/>
  <c r="L774" i="1"/>
  <c r="K774" i="1"/>
  <c r="J774" i="1"/>
  <c r="I774" i="1"/>
  <c r="H774" i="1"/>
  <c r="L773" i="1"/>
  <c r="K773" i="1"/>
  <c r="J773" i="1"/>
  <c r="I773" i="1"/>
  <c r="H773" i="1"/>
  <c r="L772" i="1"/>
  <c r="K772" i="1"/>
  <c r="J772" i="1"/>
  <c r="I772" i="1"/>
  <c r="H772" i="1"/>
  <c r="L771" i="1"/>
  <c r="K771" i="1"/>
  <c r="J771" i="1"/>
  <c r="I771" i="1"/>
  <c r="H771" i="1"/>
  <c r="L770" i="1"/>
  <c r="K770" i="1"/>
  <c r="J770" i="1"/>
  <c r="I770" i="1"/>
  <c r="H770" i="1"/>
  <c r="L769" i="1"/>
  <c r="K769" i="1"/>
  <c r="J769" i="1"/>
  <c r="I769" i="1"/>
  <c r="H769" i="1"/>
  <c r="L768" i="1"/>
  <c r="K768" i="1"/>
  <c r="J768" i="1"/>
  <c r="I768" i="1"/>
  <c r="H768" i="1"/>
  <c r="L767" i="1"/>
  <c r="K767" i="1"/>
  <c r="J767" i="1"/>
  <c r="I767" i="1"/>
  <c r="H767" i="1"/>
  <c r="L766" i="1"/>
  <c r="K766" i="1"/>
  <c r="J766" i="1"/>
  <c r="I766" i="1"/>
  <c r="H766" i="1"/>
  <c r="L765" i="1"/>
  <c r="K765" i="1"/>
  <c r="J765" i="1"/>
  <c r="I765" i="1"/>
  <c r="H765" i="1"/>
  <c r="L764" i="1"/>
  <c r="K764" i="1"/>
  <c r="J764" i="1"/>
  <c r="I764" i="1"/>
  <c r="H764" i="1"/>
  <c r="L763" i="1"/>
  <c r="K763" i="1"/>
  <c r="J763" i="1"/>
  <c r="I763" i="1"/>
  <c r="H763" i="1"/>
  <c r="L762" i="1"/>
  <c r="K762" i="1"/>
  <c r="J762" i="1"/>
  <c r="I762" i="1"/>
  <c r="H762" i="1"/>
  <c r="L761" i="1"/>
  <c r="K761" i="1"/>
  <c r="J761" i="1"/>
  <c r="I761" i="1"/>
  <c r="H761" i="1"/>
  <c r="L760" i="1"/>
  <c r="K760" i="1"/>
  <c r="J760" i="1"/>
  <c r="I760" i="1"/>
  <c r="H760" i="1"/>
  <c r="L759" i="1"/>
  <c r="K759" i="1"/>
  <c r="J759" i="1"/>
  <c r="I759" i="1"/>
  <c r="H759" i="1"/>
  <c r="L758" i="1"/>
  <c r="K758" i="1"/>
  <c r="J758" i="1"/>
  <c r="I758" i="1"/>
  <c r="H758" i="1"/>
  <c r="L757" i="1"/>
  <c r="K757" i="1"/>
  <c r="J757" i="1"/>
  <c r="I757" i="1"/>
  <c r="H757" i="1"/>
  <c r="L756" i="1"/>
  <c r="K756" i="1"/>
  <c r="J756" i="1"/>
  <c r="I756" i="1"/>
  <c r="H756" i="1"/>
  <c r="L755" i="1"/>
  <c r="K755" i="1"/>
  <c r="J755" i="1"/>
  <c r="I755" i="1"/>
  <c r="H755" i="1"/>
  <c r="L754" i="1"/>
  <c r="K754" i="1"/>
  <c r="J754" i="1"/>
  <c r="I754" i="1"/>
  <c r="H754" i="1"/>
  <c r="L753" i="1"/>
  <c r="K753" i="1"/>
  <c r="J753" i="1"/>
  <c r="I753" i="1"/>
  <c r="H753" i="1"/>
  <c r="L752" i="1"/>
  <c r="K752" i="1"/>
  <c r="J752" i="1"/>
  <c r="I752" i="1"/>
  <c r="H752" i="1"/>
  <c r="L751" i="1"/>
  <c r="K751" i="1"/>
  <c r="J751" i="1"/>
  <c r="I751" i="1"/>
  <c r="H751" i="1"/>
  <c r="L750" i="1"/>
  <c r="K750" i="1"/>
  <c r="J750" i="1"/>
  <c r="I750" i="1"/>
  <c r="H750" i="1"/>
  <c r="L749" i="1"/>
  <c r="K749" i="1"/>
  <c r="J749" i="1"/>
  <c r="I749" i="1"/>
  <c r="H749" i="1"/>
  <c r="L748" i="1"/>
  <c r="K748" i="1"/>
  <c r="J748" i="1"/>
  <c r="I748" i="1"/>
  <c r="H748" i="1"/>
  <c r="L747" i="1"/>
  <c r="K747" i="1"/>
  <c r="J747" i="1"/>
  <c r="I747" i="1"/>
  <c r="H747" i="1"/>
  <c r="L746" i="1"/>
  <c r="K746" i="1"/>
  <c r="J746" i="1"/>
  <c r="I746" i="1"/>
  <c r="H746" i="1"/>
  <c r="L745" i="1"/>
  <c r="K745" i="1"/>
  <c r="J745" i="1"/>
  <c r="I745" i="1"/>
  <c r="H745" i="1"/>
  <c r="L744" i="1"/>
  <c r="K744" i="1"/>
  <c r="J744" i="1"/>
  <c r="I744" i="1"/>
  <c r="H744" i="1"/>
  <c r="L743" i="1"/>
  <c r="K743" i="1"/>
  <c r="J743" i="1"/>
  <c r="I743" i="1"/>
  <c r="H743" i="1"/>
  <c r="L742" i="1"/>
  <c r="K742" i="1"/>
  <c r="J742" i="1"/>
  <c r="I742" i="1"/>
  <c r="H742" i="1"/>
  <c r="L741" i="1"/>
  <c r="K741" i="1"/>
  <c r="J741" i="1"/>
  <c r="I741" i="1"/>
  <c r="H741" i="1"/>
  <c r="L740" i="1"/>
  <c r="K740" i="1"/>
  <c r="J740" i="1"/>
  <c r="I740" i="1"/>
  <c r="H740" i="1"/>
  <c r="L739" i="1"/>
  <c r="K739" i="1"/>
  <c r="J739" i="1"/>
  <c r="I739" i="1"/>
  <c r="H739" i="1"/>
  <c r="L738" i="1"/>
  <c r="K738" i="1"/>
  <c r="J738" i="1"/>
  <c r="I738" i="1"/>
  <c r="H738" i="1"/>
  <c r="L737" i="1"/>
  <c r="K737" i="1"/>
  <c r="J737" i="1"/>
  <c r="I737" i="1"/>
  <c r="H737" i="1"/>
  <c r="L736" i="1"/>
  <c r="K736" i="1"/>
  <c r="J736" i="1"/>
  <c r="I736" i="1"/>
  <c r="H736" i="1"/>
  <c r="L735" i="1"/>
  <c r="K735" i="1"/>
  <c r="J735" i="1"/>
  <c r="I735" i="1"/>
  <c r="H735" i="1"/>
  <c r="L734" i="1"/>
  <c r="K734" i="1"/>
  <c r="J734" i="1"/>
  <c r="I734" i="1"/>
  <c r="H734" i="1"/>
  <c r="L733" i="1"/>
  <c r="K733" i="1"/>
  <c r="J733" i="1"/>
  <c r="I733" i="1"/>
  <c r="H733" i="1"/>
  <c r="L732" i="1"/>
  <c r="K732" i="1"/>
  <c r="J732" i="1"/>
  <c r="I732" i="1"/>
  <c r="H732" i="1"/>
  <c r="L731" i="1"/>
  <c r="K731" i="1"/>
  <c r="J731" i="1"/>
  <c r="I731" i="1"/>
  <c r="H731" i="1"/>
  <c r="L730" i="1"/>
  <c r="K730" i="1"/>
  <c r="J730" i="1"/>
  <c r="I730" i="1"/>
  <c r="H730" i="1"/>
  <c r="L729" i="1"/>
  <c r="K729" i="1"/>
  <c r="J729" i="1"/>
  <c r="I729" i="1"/>
  <c r="H729" i="1"/>
  <c r="L728" i="1"/>
  <c r="K728" i="1"/>
  <c r="J728" i="1"/>
  <c r="I728" i="1"/>
  <c r="H728" i="1"/>
  <c r="L727" i="1"/>
  <c r="K727" i="1"/>
  <c r="J727" i="1"/>
  <c r="I727" i="1"/>
  <c r="H727" i="1"/>
  <c r="L726" i="1"/>
  <c r="K726" i="1"/>
  <c r="J726" i="1"/>
  <c r="I726" i="1"/>
  <c r="H726" i="1"/>
  <c r="L725" i="1"/>
  <c r="K725" i="1"/>
  <c r="J725" i="1"/>
  <c r="I725" i="1"/>
  <c r="H725" i="1"/>
  <c r="L724" i="1"/>
  <c r="K724" i="1"/>
  <c r="J724" i="1"/>
  <c r="I724" i="1"/>
  <c r="H724" i="1"/>
  <c r="L723" i="1"/>
  <c r="K723" i="1"/>
  <c r="J723" i="1"/>
  <c r="I723" i="1"/>
  <c r="H723" i="1"/>
  <c r="L722" i="1"/>
  <c r="K722" i="1"/>
  <c r="J722" i="1"/>
  <c r="I722" i="1"/>
  <c r="H722" i="1"/>
  <c r="L721" i="1"/>
  <c r="K721" i="1"/>
  <c r="J721" i="1"/>
  <c r="I721" i="1"/>
  <c r="H721" i="1"/>
  <c r="L720" i="1"/>
  <c r="K720" i="1"/>
  <c r="J720" i="1"/>
  <c r="I720" i="1"/>
  <c r="H720" i="1"/>
  <c r="L719" i="1"/>
  <c r="K719" i="1"/>
  <c r="J719" i="1"/>
  <c r="I719" i="1"/>
  <c r="H719" i="1"/>
  <c r="L718" i="1"/>
  <c r="K718" i="1"/>
  <c r="J718" i="1"/>
  <c r="I718" i="1"/>
  <c r="H718" i="1"/>
  <c r="L717" i="1"/>
  <c r="K717" i="1"/>
  <c r="J717" i="1"/>
  <c r="I717" i="1"/>
  <c r="H717" i="1"/>
  <c r="L716" i="1"/>
  <c r="K716" i="1"/>
  <c r="J716" i="1"/>
  <c r="I716" i="1"/>
  <c r="H716" i="1"/>
  <c r="L715" i="1"/>
  <c r="K715" i="1"/>
  <c r="J715" i="1"/>
  <c r="I715" i="1"/>
  <c r="H715" i="1"/>
  <c r="L714" i="1"/>
  <c r="K714" i="1"/>
  <c r="J714" i="1"/>
  <c r="I714" i="1"/>
  <c r="H714" i="1"/>
  <c r="L713" i="1"/>
  <c r="K713" i="1"/>
  <c r="J713" i="1"/>
  <c r="I713" i="1"/>
  <c r="H713" i="1"/>
  <c r="L712" i="1"/>
  <c r="K712" i="1"/>
  <c r="J712" i="1"/>
  <c r="I712" i="1"/>
  <c r="H712" i="1"/>
  <c r="L711" i="1"/>
  <c r="K711" i="1"/>
  <c r="J711" i="1"/>
  <c r="I711" i="1"/>
  <c r="H711" i="1"/>
  <c r="L710" i="1"/>
  <c r="K710" i="1"/>
  <c r="J710" i="1"/>
  <c r="I710" i="1"/>
  <c r="H710" i="1"/>
  <c r="L709" i="1"/>
  <c r="K709" i="1"/>
  <c r="J709" i="1"/>
  <c r="I709" i="1"/>
  <c r="H709" i="1"/>
  <c r="L708" i="1"/>
  <c r="K708" i="1"/>
  <c r="J708" i="1"/>
  <c r="I708" i="1"/>
  <c r="H708" i="1"/>
  <c r="L707" i="1"/>
  <c r="K707" i="1"/>
  <c r="J707" i="1"/>
  <c r="I707" i="1"/>
  <c r="H707" i="1"/>
  <c r="L706" i="1"/>
  <c r="K706" i="1"/>
  <c r="J706" i="1"/>
  <c r="I706" i="1"/>
  <c r="H706" i="1"/>
  <c r="L705" i="1"/>
  <c r="K705" i="1"/>
  <c r="J705" i="1"/>
  <c r="I705" i="1"/>
  <c r="H705" i="1"/>
  <c r="L704" i="1"/>
  <c r="K704" i="1"/>
  <c r="J704" i="1"/>
  <c r="I704" i="1"/>
  <c r="H704" i="1"/>
  <c r="L703" i="1"/>
  <c r="K703" i="1"/>
  <c r="J703" i="1"/>
  <c r="I703" i="1"/>
  <c r="H703" i="1"/>
  <c r="L702" i="1"/>
  <c r="K702" i="1"/>
  <c r="J702" i="1"/>
  <c r="I702" i="1"/>
  <c r="H702" i="1"/>
  <c r="L701" i="1"/>
  <c r="K701" i="1"/>
  <c r="J701" i="1"/>
  <c r="I701" i="1"/>
  <c r="H701" i="1"/>
  <c r="L700" i="1"/>
  <c r="K700" i="1"/>
  <c r="J700" i="1"/>
  <c r="I700" i="1"/>
  <c r="H700" i="1"/>
  <c r="L699" i="1"/>
  <c r="K699" i="1"/>
  <c r="J699" i="1"/>
  <c r="I699" i="1"/>
  <c r="H699" i="1"/>
  <c r="L698" i="1"/>
  <c r="K698" i="1"/>
  <c r="J698" i="1"/>
  <c r="I698" i="1"/>
  <c r="H698" i="1"/>
  <c r="L697" i="1"/>
  <c r="K697" i="1"/>
  <c r="J697" i="1"/>
  <c r="I697" i="1"/>
  <c r="H697" i="1"/>
  <c r="L696" i="1"/>
  <c r="K696" i="1"/>
  <c r="J696" i="1"/>
  <c r="I696" i="1"/>
  <c r="H696" i="1"/>
  <c r="L695" i="1"/>
  <c r="K695" i="1"/>
  <c r="J695" i="1"/>
  <c r="I695" i="1"/>
  <c r="H695" i="1"/>
  <c r="L694" i="1"/>
  <c r="K694" i="1"/>
  <c r="J694" i="1"/>
  <c r="I694" i="1"/>
  <c r="H694" i="1"/>
  <c r="L693" i="1"/>
  <c r="K693" i="1"/>
  <c r="J693" i="1"/>
  <c r="I693" i="1"/>
  <c r="H693" i="1"/>
  <c r="L692" i="1"/>
  <c r="K692" i="1"/>
  <c r="J692" i="1"/>
  <c r="I692" i="1"/>
  <c r="H692" i="1"/>
  <c r="L691" i="1"/>
  <c r="K691" i="1"/>
  <c r="J691" i="1"/>
  <c r="I691" i="1"/>
  <c r="H691" i="1"/>
  <c r="L690" i="1"/>
  <c r="K690" i="1"/>
  <c r="J690" i="1"/>
  <c r="I690" i="1"/>
  <c r="H690" i="1"/>
  <c r="L689" i="1"/>
  <c r="K689" i="1"/>
  <c r="J689" i="1"/>
  <c r="I689" i="1"/>
  <c r="H689" i="1"/>
  <c r="L688" i="1"/>
  <c r="K688" i="1"/>
  <c r="J688" i="1"/>
  <c r="I688" i="1"/>
  <c r="H688" i="1"/>
  <c r="L687" i="1"/>
  <c r="K687" i="1"/>
  <c r="J687" i="1"/>
  <c r="I687" i="1"/>
  <c r="H687" i="1"/>
  <c r="L686" i="1"/>
  <c r="K686" i="1"/>
  <c r="J686" i="1"/>
  <c r="I686" i="1"/>
  <c r="H686" i="1"/>
  <c r="L685" i="1"/>
  <c r="K685" i="1"/>
  <c r="J685" i="1"/>
  <c r="I685" i="1"/>
  <c r="H685" i="1"/>
  <c r="L684" i="1"/>
  <c r="K684" i="1"/>
  <c r="J684" i="1"/>
  <c r="I684" i="1"/>
  <c r="H684" i="1"/>
  <c r="L683" i="1"/>
  <c r="K683" i="1"/>
  <c r="J683" i="1"/>
  <c r="I683" i="1"/>
  <c r="H683" i="1"/>
  <c r="L682" i="1"/>
  <c r="K682" i="1"/>
  <c r="J682" i="1"/>
  <c r="I682" i="1"/>
  <c r="H682" i="1"/>
  <c r="L681" i="1"/>
  <c r="K681" i="1"/>
  <c r="J681" i="1"/>
  <c r="I681" i="1"/>
  <c r="H681" i="1"/>
  <c r="L680" i="1"/>
  <c r="K680" i="1"/>
  <c r="J680" i="1"/>
  <c r="I680" i="1"/>
  <c r="H680" i="1"/>
  <c r="L679" i="1"/>
  <c r="K679" i="1"/>
  <c r="J679" i="1"/>
  <c r="I679" i="1"/>
  <c r="H679" i="1"/>
  <c r="L678" i="1"/>
  <c r="K678" i="1"/>
  <c r="J678" i="1"/>
  <c r="I678" i="1"/>
  <c r="H678" i="1"/>
  <c r="L677" i="1"/>
  <c r="K677" i="1"/>
  <c r="J677" i="1"/>
  <c r="I677" i="1"/>
  <c r="H677" i="1"/>
  <c r="L676" i="1"/>
  <c r="K676" i="1"/>
  <c r="J676" i="1"/>
  <c r="I676" i="1"/>
  <c r="H676" i="1"/>
  <c r="L675" i="1"/>
  <c r="K675" i="1"/>
  <c r="J675" i="1"/>
  <c r="I675" i="1"/>
  <c r="H675" i="1"/>
  <c r="L674" i="1"/>
  <c r="K674" i="1"/>
  <c r="J674" i="1"/>
  <c r="I674" i="1"/>
  <c r="H674" i="1"/>
  <c r="L673" i="1"/>
  <c r="K673" i="1"/>
  <c r="J673" i="1"/>
  <c r="I673" i="1"/>
  <c r="H673" i="1"/>
  <c r="L672" i="1"/>
  <c r="K672" i="1"/>
  <c r="J672" i="1"/>
  <c r="I672" i="1"/>
  <c r="H672" i="1"/>
  <c r="L671" i="1"/>
  <c r="K671" i="1"/>
  <c r="J671" i="1"/>
  <c r="I671" i="1"/>
  <c r="H671" i="1"/>
  <c r="L670" i="1"/>
  <c r="K670" i="1"/>
  <c r="J670" i="1"/>
  <c r="I670" i="1"/>
  <c r="H670" i="1"/>
  <c r="L669" i="1"/>
  <c r="K669" i="1"/>
  <c r="J669" i="1"/>
  <c r="I669" i="1"/>
  <c r="H669" i="1"/>
  <c r="L668" i="1"/>
  <c r="K668" i="1"/>
  <c r="J668" i="1"/>
  <c r="I668" i="1"/>
  <c r="H668" i="1"/>
  <c r="L667" i="1"/>
  <c r="K667" i="1"/>
  <c r="J667" i="1"/>
  <c r="I667" i="1"/>
  <c r="H667" i="1"/>
  <c r="L666" i="1"/>
  <c r="K666" i="1"/>
  <c r="J666" i="1"/>
  <c r="I666" i="1"/>
  <c r="H666" i="1"/>
  <c r="L665" i="1"/>
  <c r="K665" i="1"/>
  <c r="J665" i="1"/>
  <c r="I665" i="1"/>
  <c r="H665" i="1"/>
  <c r="L664" i="1"/>
  <c r="K664" i="1"/>
  <c r="J664" i="1"/>
  <c r="I664" i="1"/>
  <c r="H664" i="1"/>
  <c r="L663" i="1"/>
  <c r="K663" i="1"/>
  <c r="J663" i="1"/>
  <c r="I663" i="1"/>
  <c r="H663" i="1"/>
  <c r="L662" i="1"/>
  <c r="K662" i="1"/>
  <c r="J662" i="1"/>
  <c r="I662" i="1"/>
  <c r="H662" i="1"/>
  <c r="L661" i="1"/>
  <c r="K661" i="1"/>
  <c r="J661" i="1"/>
  <c r="I661" i="1"/>
  <c r="H661" i="1"/>
  <c r="L660" i="1"/>
  <c r="K660" i="1"/>
  <c r="J660" i="1"/>
  <c r="I660" i="1"/>
  <c r="H660" i="1"/>
  <c r="L659" i="1"/>
  <c r="K659" i="1"/>
  <c r="J659" i="1"/>
  <c r="I659" i="1"/>
  <c r="H659" i="1"/>
  <c r="L658" i="1"/>
  <c r="K658" i="1"/>
  <c r="J658" i="1"/>
  <c r="I658" i="1"/>
  <c r="H658" i="1"/>
  <c r="L657" i="1"/>
  <c r="K657" i="1"/>
  <c r="J657" i="1"/>
  <c r="I657" i="1"/>
  <c r="H657" i="1"/>
  <c r="L656" i="1"/>
  <c r="K656" i="1"/>
  <c r="J656" i="1"/>
  <c r="I656" i="1"/>
  <c r="H656" i="1"/>
  <c r="L655" i="1"/>
  <c r="K655" i="1"/>
  <c r="J655" i="1"/>
  <c r="I655" i="1"/>
  <c r="H655" i="1"/>
  <c r="L654" i="1"/>
  <c r="K654" i="1"/>
  <c r="J654" i="1"/>
  <c r="I654" i="1"/>
  <c r="H654" i="1"/>
  <c r="L653" i="1"/>
  <c r="K653" i="1"/>
  <c r="J653" i="1"/>
  <c r="I653" i="1"/>
  <c r="H653" i="1"/>
  <c r="L652" i="1"/>
  <c r="K652" i="1"/>
  <c r="J652" i="1"/>
  <c r="I652" i="1"/>
  <c r="H652" i="1"/>
  <c r="L651" i="1"/>
  <c r="K651" i="1"/>
  <c r="J651" i="1"/>
  <c r="I651" i="1"/>
  <c r="H651" i="1"/>
  <c r="L650" i="1"/>
  <c r="K650" i="1"/>
  <c r="J650" i="1"/>
  <c r="I650" i="1"/>
  <c r="H650" i="1"/>
  <c r="L649" i="1"/>
  <c r="K649" i="1"/>
  <c r="J649" i="1"/>
  <c r="I649" i="1"/>
  <c r="H649" i="1"/>
  <c r="L648" i="1"/>
  <c r="K648" i="1"/>
  <c r="J648" i="1"/>
  <c r="I648" i="1"/>
  <c r="H648" i="1"/>
  <c r="L647" i="1"/>
  <c r="K647" i="1"/>
  <c r="J647" i="1"/>
  <c r="I647" i="1"/>
  <c r="H647" i="1"/>
  <c r="L646" i="1"/>
  <c r="K646" i="1"/>
  <c r="J646" i="1"/>
  <c r="I646" i="1"/>
  <c r="H646" i="1"/>
  <c r="L645" i="1"/>
  <c r="K645" i="1"/>
  <c r="J645" i="1"/>
  <c r="I645" i="1"/>
  <c r="H645" i="1"/>
  <c r="L644" i="1"/>
  <c r="K644" i="1"/>
  <c r="J644" i="1"/>
  <c r="I644" i="1"/>
  <c r="H644" i="1"/>
  <c r="L643" i="1"/>
  <c r="K643" i="1"/>
  <c r="J643" i="1"/>
  <c r="I643" i="1"/>
  <c r="H643" i="1"/>
  <c r="L642" i="1"/>
  <c r="K642" i="1"/>
  <c r="J642" i="1"/>
  <c r="I642" i="1"/>
  <c r="H642" i="1"/>
  <c r="L641" i="1"/>
  <c r="K641" i="1"/>
  <c r="J641" i="1"/>
  <c r="I641" i="1"/>
  <c r="H641" i="1"/>
  <c r="L640" i="1"/>
  <c r="K640" i="1"/>
  <c r="J640" i="1"/>
  <c r="I640" i="1"/>
  <c r="H640" i="1"/>
  <c r="L639" i="1"/>
  <c r="K639" i="1"/>
  <c r="J639" i="1"/>
  <c r="I639" i="1"/>
  <c r="H639" i="1"/>
  <c r="L638" i="1"/>
  <c r="K638" i="1"/>
  <c r="J638" i="1"/>
  <c r="I638" i="1"/>
  <c r="H638" i="1"/>
  <c r="L637" i="1"/>
  <c r="K637" i="1"/>
  <c r="J637" i="1"/>
  <c r="I637" i="1"/>
  <c r="H637" i="1"/>
  <c r="L636" i="1"/>
  <c r="K636" i="1"/>
  <c r="J636" i="1"/>
  <c r="I636" i="1"/>
  <c r="H636" i="1"/>
  <c r="L635" i="1"/>
  <c r="K635" i="1"/>
  <c r="J635" i="1"/>
  <c r="I635" i="1"/>
  <c r="H635" i="1"/>
  <c r="L634" i="1"/>
  <c r="K634" i="1"/>
  <c r="J634" i="1"/>
  <c r="I634" i="1"/>
  <c r="H634" i="1"/>
  <c r="L633" i="1"/>
  <c r="K633" i="1"/>
  <c r="J633" i="1"/>
  <c r="I633" i="1"/>
  <c r="H633" i="1"/>
  <c r="L632" i="1"/>
  <c r="K632" i="1"/>
  <c r="J632" i="1"/>
  <c r="I632" i="1"/>
  <c r="H632" i="1"/>
  <c r="L631" i="1"/>
  <c r="K631" i="1"/>
  <c r="J631" i="1"/>
  <c r="I631" i="1"/>
  <c r="H631" i="1"/>
  <c r="L630" i="1"/>
  <c r="K630" i="1"/>
  <c r="J630" i="1"/>
  <c r="I630" i="1"/>
  <c r="H630" i="1"/>
  <c r="L629" i="1"/>
  <c r="K629" i="1"/>
  <c r="J629" i="1"/>
  <c r="I629" i="1"/>
  <c r="H629" i="1"/>
  <c r="L628" i="1"/>
  <c r="K628" i="1"/>
  <c r="J628" i="1"/>
  <c r="I628" i="1"/>
  <c r="H628" i="1"/>
  <c r="L627" i="1"/>
  <c r="K627" i="1"/>
  <c r="J627" i="1"/>
  <c r="I627" i="1"/>
  <c r="H627" i="1"/>
  <c r="L626" i="1"/>
  <c r="K626" i="1"/>
  <c r="J626" i="1"/>
  <c r="I626" i="1"/>
  <c r="H626" i="1"/>
  <c r="L625" i="1"/>
  <c r="K625" i="1"/>
  <c r="J625" i="1"/>
  <c r="I625" i="1"/>
  <c r="H625" i="1"/>
  <c r="L624" i="1"/>
  <c r="K624" i="1"/>
  <c r="J624" i="1"/>
  <c r="I624" i="1"/>
  <c r="H624" i="1"/>
  <c r="L623" i="1"/>
  <c r="K623" i="1"/>
  <c r="J623" i="1"/>
  <c r="I623" i="1"/>
  <c r="H623" i="1"/>
  <c r="L622" i="1"/>
  <c r="K622" i="1"/>
  <c r="J622" i="1"/>
  <c r="I622" i="1"/>
  <c r="H622" i="1"/>
  <c r="L621" i="1"/>
  <c r="K621" i="1"/>
  <c r="J621" i="1"/>
  <c r="I621" i="1"/>
  <c r="H621" i="1"/>
  <c r="L620" i="1"/>
  <c r="K620" i="1"/>
  <c r="J620" i="1"/>
  <c r="I620" i="1"/>
  <c r="H620" i="1"/>
  <c r="L619" i="1"/>
  <c r="K619" i="1"/>
  <c r="J619" i="1"/>
  <c r="I619" i="1"/>
  <c r="H619" i="1"/>
  <c r="L618" i="1"/>
  <c r="K618" i="1"/>
  <c r="J618" i="1"/>
  <c r="I618" i="1"/>
  <c r="H618" i="1"/>
  <c r="L617" i="1"/>
  <c r="K617" i="1"/>
  <c r="J617" i="1"/>
  <c r="I617" i="1"/>
  <c r="H617" i="1"/>
  <c r="L616" i="1"/>
  <c r="K616" i="1"/>
  <c r="J616" i="1"/>
  <c r="I616" i="1"/>
  <c r="H616" i="1"/>
  <c r="L615" i="1"/>
  <c r="K615" i="1"/>
  <c r="J615" i="1"/>
  <c r="I615" i="1"/>
  <c r="H615" i="1"/>
  <c r="L614" i="1"/>
  <c r="K614" i="1"/>
  <c r="J614" i="1"/>
  <c r="I614" i="1"/>
  <c r="H614" i="1"/>
  <c r="L613" i="1"/>
  <c r="K613" i="1"/>
  <c r="J613" i="1"/>
  <c r="I613" i="1"/>
  <c r="H613" i="1"/>
  <c r="L612" i="1"/>
  <c r="K612" i="1"/>
  <c r="J612" i="1"/>
  <c r="I612" i="1"/>
  <c r="H612" i="1"/>
  <c r="L611" i="1"/>
  <c r="K611" i="1"/>
  <c r="J611" i="1"/>
  <c r="I611" i="1"/>
  <c r="H611" i="1"/>
  <c r="L610" i="1"/>
  <c r="K610" i="1"/>
  <c r="J610" i="1"/>
  <c r="I610" i="1"/>
  <c r="H610" i="1"/>
  <c r="L609" i="1"/>
  <c r="K609" i="1"/>
  <c r="J609" i="1"/>
  <c r="I609" i="1"/>
  <c r="H609" i="1"/>
  <c r="L608" i="1"/>
  <c r="K608" i="1"/>
  <c r="J608" i="1"/>
  <c r="I608" i="1"/>
  <c r="H608" i="1"/>
  <c r="L607" i="1"/>
  <c r="K607" i="1"/>
  <c r="J607" i="1"/>
  <c r="I607" i="1"/>
  <c r="H607" i="1"/>
  <c r="L606" i="1"/>
  <c r="K606" i="1"/>
  <c r="J606" i="1"/>
  <c r="I606" i="1"/>
  <c r="H606" i="1"/>
  <c r="L605" i="1"/>
  <c r="K605" i="1"/>
  <c r="J605" i="1"/>
  <c r="I605" i="1"/>
  <c r="H605" i="1"/>
  <c r="L604" i="1"/>
  <c r="K604" i="1"/>
  <c r="J604" i="1"/>
  <c r="I604" i="1"/>
  <c r="H604" i="1"/>
  <c r="L603" i="1"/>
  <c r="K603" i="1"/>
  <c r="J603" i="1"/>
  <c r="I603" i="1"/>
  <c r="H603" i="1"/>
  <c r="L602" i="1"/>
  <c r="K602" i="1"/>
  <c r="J602" i="1"/>
  <c r="I602" i="1"/>
  <c r="H602" i="1"/>
  <c r="L601" i="1"/>
  <c r="K601" i="1"/>
  <c r="J601" i="1"/>
  <c r="I601" i="1"/>
  <c r="H601" i="1"/>
  <c r="L600" i="1"/>
  <c r="K600" i="1"/>
  <c r="J600" i="1"/>
  <c r="I600" i="1"/>
  <c r="H600" i="1"/>
  <c r="L599" i="1"/>
  <c r="K599" i="1"/>
  <c r="J599" i="1"/>
  <c r="I599" i="1"/>
  <c r="H599" i="1"/>
  <c r="L598" i="1"/>
  <c r="K598" i="1"/>
  <c r="J598" i="1"/>
  <c r="I598" i="1"/>
  <c r="H598" i="1"/>
  <c r="L597" i="1"/>
  <c r="K597" i="1"/>
  <c r="J597" i="1"/>
  <c r="I597" i="1"/>
  <c r="H597" i="1"/>
  <c r="L596" i="1"/>
  <c r="K596" i="1"/>
  <c r="J596" i="1"/>
  <c r="I596" i="1"/>
  <c r="H596" i="1"/>
  <c r="L595" i="1"/>
  <c r="K595" i="1"/>
  <c r="J595" i="1"/>
  <c r="I595" i="1"/>
  <c r="H595" i="1"/>
  <c r="L594" i="1"/>
  <c r="K594" i="1"/>
  <c r="J594" i="1"/>
  <c r="I594" i="1"/>
  <c r="H594" i="1"/>
  <c r="L593" i="1"/>
  <c r="K593" i="1"/>
  <c r="J593" i="1"/>
  <c r="I593" i="1"/>
  <c r="H593" i="1"/>
  <c r="L592" i="1"/>
  <c r="K592" i="1"/>
  <c r="J592" i="1"/>
  <c r="I592" i="1"/>
  <c r="H592" i="1"/>
  <c r="L591" i="1"/>
  <c r="K591" i="1"/>
  <c r="J591" i="1"/>
  <c r="I591" i="1"/>
  <c r="H591" i="1"/>
  <c r="L590" i="1"/>
  <c r="K590" i="1"/>
  <c r="J590" i="1"/>
  <c r="I590" i="1"/>
  <c r="H590" i="1"/>
  <c r="L589" i="1"/>
  <c r="K589" i="1"/>
  <c r="J589" i="1"/>
  <c r="I589" i="1"/>
  <c r="H589" i="1"/>
  <c r="L588" i="1"/>
  <c r="K588" i="1"/>
  <c r="J588" i="1"/>
  <c r="I588" i="1"/>
  <c r="H588" i="1"/>
  <c r="L587" i="1"/>
  <c r="K587" i="1"/>
  <c r="J587" i="1"/>
  <c r="I587" i="1"/>
  <c r="H587" i="1"/>
  <c r="L586" i="1"/>
  <c r="K586" i="1"/>
  <c r="J586" i="1"/>
  <c r="I586" i="1"/>
  <c r="H586" i="1"/>
  <c r="L585" i="1"/>
  <c r="K585" i="1"/>
  <c r="J585" i="1"/>
  <c r="I585" i="1"/>
  <c r="H585" i="1"/>
  <c r="L584" i="1"/>
  <c r="K584" i="1"/>
  <c r="J584" i="1"/>
  <c r="I584" i="1"/>
  <c r="H584" i="1"/>
  <c r="L583" i="1"/>
  <c r="K583" i="1"/>
  <c r="J583" i="1"/>
  <c r="I583" i="1"/>
  <c r="H583" i="1"/>
  <c r="L582" i="1"/>
  <c r="K582" i="1"/>
  <c r="J582" i="1"/>
  <c r="I582" i="1"/>
  <c r="H582" i="1"/>
  <c r="L581" i="1"/>
  <c r="K581" i="1"/>
  <c r="J581" i="1"/>
  <c r="I581" i="1"/>
  <c r="H581" i="1"/>
  <c r="L580" i="1"/>
  <c r="K580" i="1"/>
  <c r="J580" i="1"/>
  <c r="I580" i="1"/>
  <c r="H580" i="1"/>
  <c r="L579" i="1"/>
  <c r="K579" i="1"/>
  <c r="J579" i="1"/>
  <c r="I579" i="1"/>
  <c r="H579" i="1"/>
  <c r="L578" i="1"/>
  <c r="K578" i="1"/>
  <c r="J578" i="1"/>
  <c r="I578" i="1"/>
  <c r="H578" i="1"/>
  <c r="L577" i="1"/>
  <c r="K577" i="1"/>
  <c r="J577" i="1"/>
  <c r="I577" i="1"/>
  <c r="H577" i="1"/>
  <c r="L576" i="1"/>
  <c r="K576" i="1"/>
  <c r="J576" i="1"/>
  <c r="I576" i="1"/>
  <c r="H576" i="1"/>
  <c r="L575" i="1"/>
  <c r="K575" i="1"/>
  <c r="J575" i="1"/>
  <c r="I575" i="1"/>
  <c r="H575" i="1"/>
  <c r="L574" i="1"/>
  <c r="K574" i="1"/>
  <c r="J574" i="1"/>
  <c r="I574" i="1"/>
  <c r="H574" i="1"/>
  <c r="L573" i="1"/>
  <c r="K573" i="1"/>
  <c r="J573" i="1"/>
  <c r="I573" i="1"/>
  <c r="H573" i="1"/>
  <c r="L572" i="1"/>
  <c r="K572" i="1"/>
  <c r="J572" i="1"/>
  <c r="I572" i="1"/>
  <c r="H572" i="1"/>
  <c r="L571" i="1"/>
  <c r="K571" i="1"/>
  <c r="J571" i="1"/>
  <c r="I571" i="1"/>
  <c r="H571" i="1"/>
  <c r="L570" i="1"/>
  <c r="K570" i="1"/>
  <c r="J570" i="1"/>
  <c r="I570" i="1"/>
  <c r="H570" i="1"/>
  <c r="L569" i="1"/>
  <c r="K569" i="1"/>
  <c r="J569" i="1"/>
  <c r="I569" i="1"/>
  <c r="H569" i="1"/>
  <c r="L568" i="1"/>
  <c r="K568" i="1"/>
  <c r="J568" i="1"/>
  <c r="I568" i="1"/>
  <c r="H568" i="1"/>
  <c r="L567" i="1"/>
  <c r="K567" i="1"/>
  <c r="J567" i="1"/>
  <c r="I567" i="1"/>
  <c r="H567" i="1"/>
  <c r="L566" i="1"/>
  <c r="K566" i="1"/>
  <c r="J566" i="1"/>
  <c r="I566" i="1"/>
  <c r="H566" i="1"/>
  <c r="L565" i="1"/>
  <c r="K565" i="1"/>
  <c r="J565" i="1"/>
  <c r="I565" i="1"/>
  <c r="H565" i="1"/>
  <c r="L564" i="1"/>
  <c r="K564" i="1"/>
  <c r="J564" i="1"/>
  <c r="I564" i="1"/>
  <c r="H564" i="1"/>
  <c r="L563" i="1"/>
  <c r="K563" i="1"/>
  <c r="J563" i="1"/>
  <c r="I563" i="1"/>
  <c r="H563" i="1"/>
  <c r="L562" i="1"/>
  <c r="K562" i="1"/>
  <c r="J562" i="1"/>
  <c r="I562" i="1"/>
  <c r="H562" i="1"/>
  <c r="L561" i="1"/>
  <c r="K561" i="1"/>
  <c r="J561" i="1"/>
  <c r="I561" i="1"/>
  <c r="H561" i="1"/>
  <c r="L560" i="1"/>
  <c r="K560" i="1"/>
  <c r="J560" i="1"/>
  <c r="I560" i="1"/>
  <c r="H560" i="1"/>
  <c r="L559" i="1"/>
  <c r="K559" i="1"/>
  <c r="J559" i="1"/>
  <c r="I559" i="1"/>
  <c r="H559" i="1"/>
  <c r="L558" i="1"/>
  <c r="K558" i="1"/>
  <c r="J558" i="1"/>
  <c r="I558" i="1"/>
  <c r="H558" i="1"/>
  <c r="L557" i="1"/>
  <c r="K557" i="1"/>
  <c r="J557" i="1"/>
  <c r="I557" i="1"/>
  <c r="H557" i="1"/>
  <c r="L556" i="1"/>
  <c r="K556" i="1"/>
  <c r="J556" i="1"/>
  <c r="I556" i="1"/>
  <c r="H556" i="1"/>
  <c r="L555" i="1"/>
  <c r="K555" i="1"/>
  <c r="J555" i="1"/>
  <c r="I555" i="1"/>
  <c r="H555" i="1"/>
  <c r="L554" i="1"/>
  <c r="K554" i="1"/>
  <c r="J554" i="1"/>
  <c r="I554" i="1"/>
  <c r="H554" i="1"/>
  <c r="L553" i="1"/>
  <c r="K553" i="1"/>
  <c r="J553" i="1"/>
  <c r="I553" i="1"/>
  <c r="H553" i="1"/>
  <c r="L552" i="1"/>
  <c r="K552" i="1"/>
  <c r="J552" i="1"/>
  <c r="I552" i="1"/>
  <c r="H552" i="1"/>
  <c r="L551" i="1"/>
  <c r="K551" i="1"/>
  <c r="J551" i="1"/>
  <c r="I551" i="1"/>
  <c r="H551" i="1"/>
  <c r="L550" i="1"/>
  <c r="K550" i="1"/>
  <c r="J550" i="1"/>
  <c r="I550" i="1"/>
  <c r="H550" i="1"/>
  <c r="L549" i="1"/>
  <c r="K549" i="1"/>
  <c r="J549" i="1"/>
  <c r="I549" i="1"/>
  <c r="H549" i="1"/>
  <c r="L548" i="1"/>
  <c r="K548" i="1"/>
  <c r="J548" i="1"/>
  <c r="I548" i="1"/>
  <c r="H548" i="1"/>
  <c r="L547" i="1"/>
  <c r="K547" i="1"/>
  <c r="J547" i="1"/>
  <c r="I547" i="1"/>
  <c r="H547" i="1"/>
  <c r="L546" i="1"/>
  <c r="K546" i="1"/>
  <c r="J546" i="1"/>
  <c r="I546" i="1"/>
  <c r="H546" i="1"/>
  <c r="L545" i="1"/>
  <c r="K545" i="1"/>
  <c r="J545" i="1"/>
  <c r="I545" i="1"/>
  <c r="H545" i="1"/>
  <c r="L544" i="1"/>
  <c r="K544" i="1"/>
  <c r="J544" i="1"/>
  <c r="I544" i="1"/>
  <c r="H544" i="1"/>
  <c r="L543" i="1"/>
  <c r="K543" i="1"/>
  <c r="J543" i="1"/>
  <c r="I543" i="1"/>
  <c r="H543" i="1"/>
  <c r="L542" i="1"/>
  <c r="K542" i="1"/>
  <c r="J542" i="1"/>
  <c r="I542" i="1"/>
  <c r="H542" i="1"/>
  <c r="L541" i="1"/>
  <c r="K541" i="1"/>
  <c r="J541" i="1"/>
  <c r="I541" i="1"/>
  <c r="H541" i="1"/>
  <c r="L540" i="1"/>
  <c r="K540" i="1"/>
  <c r="J540" i="1"/>
  <c r="I540" i="1"/>
  <c r="H540" i="1"/>
  <c r="L539" i="1"/>
  <c r="K539" i="1"/>
  <c r="J539" i="1"/>
  <c r="I539" i="1"/>
  <c r="H539" i="1"/>
  <c r="L538" i="1"/>
  <c r="K538" i="1"/>
  <c r="J538" i="1"/>
  <c r="I538" i="1"/>
  <c r="H538" i="1"/>
  <c r="L537" i="1"/>
  <c r="K537" i="1"/>
  <c r="J537" i="1"/>
  <c r="I537" i="1"/>
  <c r="H537" i="1"/>
  <c r="L536" i="1"/>
  <c r="K536" i="1"/>
  <c r="J536" i="1"/>
  <c r="I536" i="1"/>
  <c r="H536" i="1"/>
  <c r="L535" i="1"/>
  <c r="K535" i="1"/>
  <c r="J535" i="1"/>
  <c r="I535" i="1"/>
  <c r="H535" i="1"/>
  <c r="L534" i="1"/>
  <c r="K534" i="1"/>
  <c r="J534" i="1"/>
  <c r="I534" i="1"/>
  <c r="H534" i="1"/>
  <c r="L533" i="1"/>
  <c r="K533" i="1"/>
  <c r="J533" i="1"/>
  <c r="I533" i="1"/>
  <c r="H533" i="1"/>
  <c r="L532" i="1"/>
  <c r="K532" i="1"/>
  <c r="J532" i="1"/>
  <c r="I532" i="1"/>
  <c r="H532" i="1"/>
  <c r="L531" i="1"/>
  <c r="K531" i="1"/>
  <c r="J531" i="1"/>
  <c r="I531" i="1"/>
  <c r="H531" i="1"/>
  <c r="L530" i="1"/>
  <c r="K530" i="1"/>
  <c r="J530" i="1"/>
  <c r="I530" i="1"/>
  <c r="H530" i="1"/>
  <c r="L529" i="1"/>
  <c r="K529" i="1"/>
  <c r="J529" i="1"/>
  <c r="I529" i="1"/>
  <c r="H529" i="1"/>
  <c r="L528" i="1"/>
  <c r="K528" i="1"/>
  <c r="J528" i="1"/>
  <c r="I528" i="1"/>
  <c r="H528" i="1"/>
  <c r="L527" i="1"/>
  <c r="K527" i="1"/>
  <c r="J527" i="1"/>
  <c r="I527" i="1"/>
  <c r="H527" i="1"/>
  <c r="L526" i="1"/>
  <c r="K526" i="1"/>
  <c r="J526" i="1"/>
  <c r="I526" i="1"/>
  <c r="H526" i="1"/>
  <c r="L525" i="1"/>
  <c r="K525" i="1"/>
  <c r="J525" i="1"/>
  <c r="I525" i="1"/>
  <c r="H525" i="1"/>
  <c r="L524" i="1"/>
  <c r="K524" i="1"/>
  <c r="J524" i="1"/>
  <c r="I524" i="1"/>
  <c r="H524" i="1"/>
  <c r="L523" i="1"/>
  <c r="K523" i="1"/>
  <c r="J523" i="1"/>
  <c r="I523" i="1"/>
  <c r="H523" i="1"/>
  <c r="L522" i="1"/>
  <c r="K522" i="1"/>
  <c r="J522" i="1"/>
  <c r="I522" i="1"/>
  <c r="H522" i="1"/>
  <c r="L521" i="1"/>
  <c r="K521" i="1"/>
  <c r="J521" i="1"/>
  <c r="I521" i="1"/>
  <c r="H521" i="1"/>
  <c r="L520" i="1"/>
  <c r="K520" i="1"/>
  <c r="J520" i="1"/>
  <c r="I520" i="1"/>
  <c r="H520" i="1"/>
  <c r="L519" i="1"/>
  <c r="K519" i="1"/>
  <c r="J519" i="1"/>
  <c r="I519" i="1"/>
  <c r="H519" i="1"/>
  <c r="L518" i="1"/>
  <c r="K518" i="1"/>
  <c r="J518" i="1"/>
  <c r="I518" i="1"/>
  <c r="H518" i="1"/>
  <c r="L517" i="1"/>
  <c r="K517" i="1"/>
  <c r="J517" i="1"/>
  <c r="I517" i="1"/>
  <c r="H517" i="1"/>
  <c r="L516" i="1"/>
  <c r="K516" i="1"/>
  <c r="J516" i="1"/>
  <c r="I516" i="1"/>
  <c r="H516" i="1"/>
  <c r="L515" i="1"/>
  <c r="K515" i="1"/>
  <c r="J515" i="1"/>
  <c r="I515" i="1"/>
  <c r="H515" i="1"/>
  <c r="L514" i="1"/>
  <c r="K514" i="1"/>
  <c r="J514" i="1"/>
  <c r="I514" i="1"/>
  <c r="H514" i="1"/>
  <c r="L513" i="1"/>
  <c r="K513" i="1"/>
  <c r="J513" i="1"/>
  <c r="I513" i="1"/>
  <c r="H513" i="1"/>
  <c r="L512" i="1"/>
  <c r="K512" i="1"/>
  <c r="J512" i="1"/>
  <c r="I512" i="1"/>
  <c r="H512" i="1"/>
  <c r="L511" i="1"/>
  <c r="K511" i="1"/>
  <c r="J511" i="1"/>
  <c r="I511" i="1"/>
  <c r="H511" i="1"/>
  <c r="L510" i="1"/>
  <c r="K510" i="1"/>
  <c r="J510" i="1"/>
  <c r="I510" i="1"/>
  <c r="H510" i="1"/>
  <c r="L509" i="1"/>
  <c r="K509" i="1"/>
  <c r="J509" i="1"/>
  <c r="I509" i="1"/>
  <c r="H509" i="1"/>
  <c r="L508" i="1"/>
  <c r="K508" i="1"/>
  <c r="J508" i="1"/>
  <c r="I508" i="1"/>
  <c r="H508" i="1"/>
  <c r="L507" i="1"/>
  <c r="K507" i="1"/>
  <c r="J507" i="1"/>
  <c r="I507" i="1"/>
  <c r="H507" i="1"/>
  <c r="L506" i="1"/>
  <c r="K506" i="1"/>
  <c r="J506" i="1"/>
  <c r="I506" i="1"/>
  <c r="H506" i="1"/>
  <c r="L505" i="1"/>
  <c r="K505" i="1"/>
  <c r="J505" i="1"/>
  <c r="I505" i="1"/>
  <c r="H505" i="1"/>
  <c r="L504" i="1"/>
  <c r="K504" i="1"/>
  <c r="J504" i="1"/>
  <c r="I504" i="1"/>
  <c r="H504" i="1"/>
  <c r="L503" i="1"/>
  <c r="K503" i="1"/>
  <c r="J503" i="1"/>
  <c r="I503" i="1"/>
  <c r="H503" i="1"/>
  <c r="L502" i="1"/>
  <c r="K502" i="1"/>
  <c r="J502" i="1"/>
  <c r="I502" i="1"/>
  <c r="H502" i="1"/>
  <c r="L501" i="1"/>
  <c r="K501" i="1"/>
  <c r="J501" i="1"/>
  <c r="I501" i="1"/>
  <c r="H501" i="1"/>
  <c r="L500" i="1"/>
  <c r="K500" i="1"/>
  <c r="J500" i="1"/>
  <c r="I500" i="1"/>
  <c r="H500" i="1"/>
  <c r="L499" i="1"/>
  <c r="K499" i="1"/>
  <c r="J499" i="1"/>
  <c r="I499" i="1"/>
  <c r="H499" i="1"/>
  <c r="L498" i="1"/>
  <c r="K498" i="1"/>
  <c r="J498" i="1"/>
  <c r="I498" i="1"/>
  <c r="H498" i="1"/>
  <c r="L497" i="1"/>
  <c r="K497" i="1"/>
  <c r="J497" i="1"/>
  <c r="I497" i="1"/>
  <c r="H497" i="1"/>
  <c r="L496" i="1"/>
  <c r="K496" i="1"/>
  <c r="J496" i="1"/>
  <c r="I496" i="1"/>
  <c r="H496" i="1"/>
  <c r="L495" i="1"/>
  <c r="K495" i="1"/>
  <c r="J495" i="1"/>
  <c r="I495" i="1"/>
  <c r="H495" i="1"/>
  <c r="L494" i="1"/>
  <c r="K494" i="1"/>
  <c r="J494" i="1"/>
  <c r="I494" i="1"/>
  <c r="H494" i="1"/>
  <c r="L493" i="1"/>
  <c r="K493" i="1"/>
  <c r="J493" i="1"/>
  <c r="I493" i="1"/>
  <c r="H493" i="1"/>
  <c r="L492" i="1"/>
  <c r="K492" i="1"/>
  <c r="J492" i="1"/>
  <c r="I492" i="1"/>
  <c r="H492" i="1"/>
  <c r="L491" i="1"/>
  <c r="K491" i="1"/>
  <c r="J491" i="1"/>
  <c r="I491" i="1"/>
  <c r="H491" i="1"/>
  <c r="L490" i="1"/>
  <c r="K490" i="1"/>
  <c r="J490" i="1"/>
  <c r="I490" i="1"/>
  <c r="H490" i="1"/>
  <c r="L489" i="1"/>
  <c r="K489" i="1"/>
  <c r="J489" i="1"/>
  <c r="I489" i="1"/>
  <c r="H489" i="1"/>
  <c r="L488" i="1"/>
  <c r="K488" i="1"/>
  <c r="J488" i="1"/>
  <c r="I488" i="1"/>
  <c r="H488" i="1"/>
  <c r="L487" i="1"/>
  <c r="K487" i="1"/>
  <c r="J487" i="1"/>
  <c r="I487" i="1"/>
  <c r="H487" i="1"/>
  <c r="L486" i="1"/>
  <c r="K486" i="1"/>
  <c r="J486" i="1"/>
  <c r="I486" i="1"/>
  <c r="H486" i="1"/>
  <c r="L485" i="1"/>
  <c r="K485" i="1"/>
  <c r="J485" i="1"/>
  <c r="I485" i="1"/>
  <c r="H485" i="1"/>
  <c r="L484" i="1"/>
  <c r="K484" i="1"/>
  <c r="J484" i="1"/>
  <c r="I484" i="1"/>
  <c r="H484" i="1"/>
  <c r="L483" i="1"/>
  <c r="K483" i="1"/>
  <c r="J483" i="1"/>
  <c r="I483" i="1"/>
  <c r="H483" i="1"/>
  <c r="L482" i="1"/>
  <c r="K482" i="1"/>
  <c r="J482" i="1"/>
  <c r="I482" i="1"/>
  <c r="H482" i="1"/>
  <c r="L481" i="1"/>
  <c r="K481" i="1"/>
  <c r="J481" i="1"/>
  <c r="I481" i="1"/>
  <c r="H481" i="1"/>
  <c r="L480" i="1"/>
  <c r="K480" i="1"/>
  <c r="J480" i="1"/>
  <c r="I480" i="1"/>
  <c r="H480" i="1"/>
  <c r="L479" i="1"/>
  <c r="K479" i="1"/>
  <c r="J479" i="1"/>
  <c r="I479" i="1"/>
  <c r="H479" i="1"/>
  <c r="L478" i="1"/>
  <c r="K478" i="1"/>
  <c r="J478" i="1"/>
  <c r="I478" i="1"/>
  <c r="H478" i="1"/>
  <c r="L477" i="1"/>
  <c r="K477" i="1"/>
  <c r="J477" i="1"/>
  <c r="I477" i="1"/>
  <c r="H477" i="1"/>
  <c r="L476" i="1"/>
  <c r="K476" i="1"/>
  <c r="J476" i="1"/>
  <c r="I476" i="1"/>
  <c r="H476" i="1"/>
  <c r="L475" i="1"/>
  <c r="K475" i="1"/>
  <c r="J475" i="1"/>
  <c r="I475" i="1"/>
  <c r="H475" i="1"/>
  <c r="L474" i="1"/>
  <c r="K474" i="1"/>
  <c r="J474" i="1"/>
  <c r="I474" i="1"/>
  <c r="H474" i="1"/>
  <c r="L473" i="1"/>
  <c r="K473" i="1"/>
  <c r="J473" i="1"/>
  <c r="I473" i="1"/>
  <c r="H473" i="1"/>
  <c r="L472" i="1"/>
  <c r="K472" i="1"/>
  <c r="J472" i="1"/>
  <c r="I472" i="1"/>
  <c r="H472" i="1"/>
  <c r="L471" i="1"/>
  <c r="K471" i="1"/>
  <c r="J471" i="1"/>
  <c r="I471" i="1"/>
  <c r="H471" i="1"/>
  <c r="L470" i="1"/>
  <c r="K470" i="1"/>
  <c r="J470" i="1"/>
  <c r="I470" i="1"/>
  <c r="H470" i="1"/>
  <c r="L469" i="1"/>
  <c r="K469" i="1"/>
  <c r="J469" i="1"/>
  <c r="I469" i="1"/>
  <c r="H469" i="1"/>
  <c r="L468" i="1"/>
  <c r="K468" i="1"/>
  <c r="J468" i="1"/>
  <c r="I468" i="1"/>
  <c r="H468" i="1"/>
  <c r="L467" i="1"/>
  <c r="K467" i="1"/>
  <c r="J467" i="1"/>
  <c r="I467" i="1"/>
  <c r="H467" i="1"/>
  <c r="L466" i="1"/>
  <c r="K466" i="1"/>
  <c r="J466" i="1"/>
  <c r="I466" i="1"/>
  <c r="H466" i="1"/>
  <c r="L465" i="1"/>
  <c r="K465" i="1"/>
  <c r="J465" i="1"/>
  <c r="I465" i="1"/>
  <c r="H465" i="1"/>
  <c r="L464" i="1"/>
  <c r="K464" i="1"/>
  <c r="J464" i="1"/>
  <c r="I464" i="1"/>
  <c r="H464" i="1"/>
  <c r="L463" i="1"/>
  <c r="K463" i="1"/>
  <c r="J463" i="1"/>
  <c r="I463" i="1"/>
  <c r="H463" i="1"/>
  <c r="L462" i="1"/>
  <c r="K462" i="1"/>
  <c r="J462" i="1"/>
  <c r="I462" i="1"/>
  <c r="H462" i="1"/>
  <c r="L461" i="1"/>
  <c r="K461" i="1"/>
  <c r="J461" i="1"/>
  <c r="I461" i="1"/>
  <c r="H461" i="1"/>
  <c r="L460" i="1"/>
  <c r="K460" i="1"/>
  <c r="J460" i="1"/>
  <c r="I460" i="1"/>
  <c r="H460" i="1"/>
  <c r="L459" i="1"/>
  <c r="K459" i="1"/>
  <c r="J459" i="1"/>
  <c r="I459" i="1"/>
  <c r="H459" i="1"/>
  <c r="L458" i="1"/>
  <c r="K458" i="1"/>
  <c r="J458" i="1"/>
  <c r="I458" i="1"/>
  <c r="H458" i="1"/>
  <c r="L457" i="1"/>
  <c r="K457" i="1"/>
  <c r="J457" i="1"/>
  <c r="I457" i="1"/>
  <c r="H457" i="1"/>
  <c r="L456" i="1"/>
  <c r="K456" i="1"/>
  <c r="J456" i="1"/>
  <c r="I456" i="1"/>
  <c r="H456" i="1"/>
  <c r="L455" i="1"/>
  <c r="K455" i="1"/>
  <c r="J455" i="1"/>
  <c r="I455" i="1"/>
  <c r="H455" i="1"/>
  <c r="L454" i="1"/>
  <c r="K454" i="1"/>
  <c r="J454" i="1"/>
  <c r="I454" i="1"/>
  <c r="H454" i="1"/>
  <c r="L453" i="1"/>
  <c r="K453" i="1"/>
  <c r="J453" i="1"/>
  <c r="I453" i="1"/>
  <c r="H453" i="1"/>
  <c r="L452" i="1"/>
  <c r="K452" i="1"/>
  <c r="J452" i="1"/>
  <c r="I452" i="1"/>
  <c r="H452" i="1"/>
  <c r="L451" i="1"/>
  <c r="K451" i="1"/>
  <c r="J451" i="1"/>
  <c r="I451" i="1"/>
  <c r="H451" i="1"/>
  <c r="L450" i="1"/>
  <c r="K450" i="1"/>
  <c r="J450" i="1"/>
  <c r="I450" i="1"/>
  <c r="H450" i="1"/>
  <c r="L449" i="1"/>
  <c r="K449" i="1"/>
  <c r="J449" i="1"/>
  <c r="I449" i="1"/>
  <c r="H449" i="1"/>
  <c r="L448" i="1"/>
  <c r="K448" i="1"/>
  <c r="J448" i="1"/>
  <c r="I448" i="1"/>
  <c r="H448" i="1"/>
  <c r="L447" i="1"/>
  <c r="K447" i="1"/>
  <c r="J447" i="1"/>
  <c r="I447" i="1"/>
  <c r="H447" i="1"/>
  <c r="L446" i="1"/>
  <c r="K446" i="1"/>
  <c r="J446" i="1"/>
  <c r="I446" i="1"/>
  <c r="H446" i="1"/>
  <c r="L445" i="1"/>
  <c r="K445" i="1"/>
  <c r="J445" i="1"/>
  <c r="I445" i="1"/>
  <c r="H445" i="1"/>
  <c r="L444" i="1"/>
  <c r="K444" i="1"/>
  <c r="J444" i="1"/>
  <c r="I444" i="1"/>
  <c r="H444" i="1"/>
  <c r="L443" i="1"/>
  <c r="K443" i="1"/>
  <c r="J443" i="1"/>
  <c r="I443" i="1"/>
  <c r="H443" i="1"/>
  <c r="L442" i="1"/>
  <c r="K442" i="1"/>
  <c r="J442" i="1"/>
  <c r="I442" i="1"/>
  <c r="H442" i="1"/>
  <c r="L441" i="1"/>
  <c r="K441" i="1"/>
  <c r="J441" i="1"/>
  <c r="I441" i="1"/>
  <c r="H441" i="1"/>
  <c r="L440" i="1"/>
  <c r="K440" i="1"/>
  <c r="J440" i="1"/>
  <c r="I440" i="1"/>
  <c r="H440" i="1"/>
  <c r="L439" i="1"/>
  <c r="K439" i="1"/>
  <c r="J439" i="1"/>
  <c r="I439" i="1"/>
  <c r="H439" i="1"/>
  <c r="L438" i="1"/>
  <c r="K438" i="1"/>
  <c r="J438" i="1"/>
  <c r="I438" i="1"/>
  <c r="H438" i="1"/>
  <c r="L437" i="1"/>
  <c r="K437" i="1"/>
  <c r="J437" i="1"/>
  <c r="I437" i="1"/>
  <c r="H437" i="1"/>
  <c r="L436" i="1"/>
  <c r="K436" i="1"/>
  <c r="J436" i="1"/>
  <c r="I436" i="1"/>
  <c r="H436" i="1"/>
  <c r="L435" i="1"/>
  <c r="K435" i="1"/>
  <c r="J435" i="1"/>
  <c r="I435" i="1"/>
  <c r="H435" i="1"/>
  <c r="L434" i="1"/>
  <c r="K434" i="1"/>
  <c r="J434" i="1"/>
  <c r="I434" i="1"/>
  <c r="H434" i="1"/>
  <c r="L433" i="1"/>
  <c r="K433" i="1"/>
  <c r="J433" i="1"/>
  <c r="I433" i="1"/>
  <c r="H433" i="1"/>
  <c r="L432" i="1"/>
  <c r="K432" i="1"/>
  <c r="J432" i="1"/>
  <c r="I432" i="1"/>
  <c r="H432" i="1"/>
  <c r="L431" i="1"/>
  <c r="K431" i="1"/>
  <c r="J431" i="1"/>
  <c r="I431" i="1"/>
  <c r="H431" i="1"/>
  <c r="L430" i="1"/>
  <c r="K430" i="1"/>
  <c r="J430" i="1"/>
  <c r="I430" i="1"/>
  <c r="H430" i="1"/>
  <c r="L429" i="1"/>
  <c r="K429" i="1"/>
  <c r="J429" i="1"/>
  <c r="I429" i="1"/>
  <c r="H429" i="1"/>
  <c r="L428" i="1"/>
  <c r="K428" i="1"/>
  <c r="J428" i="1"/>
  <c r="I428" i="1"/>
  <c r="H428" i="1"/>
  <c r="L427" i="1"/>
  <c r="K427" i="1"/>
  <c r="J427" i="1"/>
  <c r="I427" i="1"/>
  <c r="H427" i="1"/>
  <c r="L426" i="1"/>
  <c r="K426" i="1"/>
  <c r="J426" i="1"/>
  <c r="I426" i="1"/>
  <c r="H426" i="1"/>
  <c r="L425" i="1"/>
  <c r="K425" i="1"/>
  <c r="J425" i="1"/>
  <c r="I425" i="1"/>
  <c r="H425" i="1"/>
  <c r="L424" i="1"/>
  <c r="K424" i="1"/>
  <c r="J424" i="1"/>
  <c r="I424" i="1"/>
  <c r="H424" i="1"/>
  <c r="L423" i="1"/>
  <c r="K423" i="1"/>
  <c r="J423" i="1"/>
  <c r="I423" i="1"/>
  <c r="H423" i="1"/>
  <c r="L422" i="1"/>
  <c r="K422" i="1"/>
  <c r="J422" i="1"/>
  <c r="I422" i="1"/>
  <c r="H422" i="1"/>
  <c r="L421" i="1"/>
  <c r="K421" i="1"/>
  <c r="J421" i="1"/>
  <c r="I421" i="1"/>
  <c r="H421" i="1"/>
  <c r="L420" i="1"/>
  <c r="K420" i="1"/>
  <c r="J420" i="1"/>
  <c r="I420" i="1"/>
  <c r="H420" i="1"/>
  <c r="L419" i="1"/>
  <c r="K419" i="1"/>
  <c r="J419" i="1"/>
  <c r="I419" i="1"/>
  <c r="H419" i="1"/>
  <c r="L418" i="1"/>
  <c r="K418" i="1"/>
  <c r="J418" i="1"/>
  <c r="I418" i="1"/>
  <c r="H418" i="1"/>
  <c r="L417" i="1"/>
  <c r="K417" i="1"/>
  <c r="J417" i="1"/>
  <c r="I417" i="1"/>
  <c r="H417" i="1"/>
  <c r="L416" i="1"/>
  <c r="K416" i="1"/>
  <c r="J416" i="1"/>
  <c r="I416" i="1"/>
  <c r="H416" i="1"/>
  <c r="L415" i="1"/>
  <c r="K415" i="1"/>
  <c r="J415" i="1"/>
  <c r="I415" i="1"/>
  <c r="H415" i="1"/>
  <c r="L414" i="1"/>
  <c r="K414" i="1"/>
  <c r="J414" i="1"/>
  <c r="I414" i="1"/>
  <c r="H414" i="1"/>
  <c r="L413" i="1"/>
  <c r="K413" i="1"/>
  <c r="J413" i="1"/>
  <c r="I413" i="1"/>
  <c r="H413" i="1"/>
  <c r="L412" i="1"/>
  <c r="K412" i="1"/>
  <c r="J412" i="1"/>
  <c r="I412" i="1"/>
  <c r="H412" i="1"/>
  <c r="L411" i="1"/>
  <c r="K411" i="1"/>
  <c r="J411" i="1"/>
  <c r="I411" i="1"/>
  <c r="H411" i="1"/>
  <c r="L410" i="1"/>
  <c r="K410" i="1"/>
  <c r="J410" i="1"/>
  <c r="I410" i="1"/>
  <c r="H410" i="1"/>
  <c r="L409" i="1"/>
  <c r="K409" i="1"/>
  <c r="J409" i="1"/>
  <c r="I409" i="1"/>
  <c r="H409" i="1"/>
  <c r="L408" i="1"/>
  <c r="K408" i="1"/>
  <c r="J408" i="1"/>
  <c r="I408" i="1"/>
  <c r="H408" i="1"/>
  <c r="L407" i="1"/>
  <c r="K407" i="1"/>
  <c r="J407" i="1"/>
  <c r="I407" i="1"/>
  <c r="H407" i="1"/>
  <c r="L406" i="1"/>
  <c r="K406" i="1"/>
  <c r="J406" i="1"/>
  <c r="I406" i="1"/>
  <c r="H406" i="1"/>
  <c r="L405" i="1"/>
  <c r="K405" i="1"/>
  <c r="J405" i="1"/>
  <c r="I405" i="1"/>
  <c r="H405" i="1"/>
  <c r="L404" i="1"/>
  <c r="K404" i="1"/>
  <c r="J404" i="1"/>
  <c r="I404" i="1"/>
  <c r="H404" i="1"/>
  <c r="L403" i="1"/>
  <c r="K403" i="1"/>
  <c r="J403" i="1"/>
  <c r="I403" i="1"/>
  <c r="H403" i="1"/>
  <c r="L402" i="1"/>
  <c r="K402" i="1"/>
  <c r="J402" i="1"/>
  <c r="I402" i="1"/>
  <c r="H402" i="1"/>
  <c r="L401" i="1"/>
  <c r="K401" i="1"/>
  <c r="J401" i="1"/>
  <c r="I401" i="1"/>
  <c r="H401" i="1"/>
  <c r="L400" i="1"/>
  <c r="K400" i="1"/>
  <c r="J400" i="1"/>
  <c r="I400" i="1"/>
  <c r="H400" i="1"/>
  <c r="L399" i="1"/>
  <c r="K399" i="1"/>
  <c r="J399" i="1"/>
  <c r="I399" i="1"/>
  <c r="H399" i="1"/>
  <c r="L398" i="1"/>
  <c r="K398" i="1"/>
  <c r="J398" i="1"/>
  <c r="I398" i="1"/>
  <c r="H398" i="1"/>
  <c r="L397" i="1"/>
  <c r="K397" i="1"/>
  <c r="J397" i="1"/>
  <c r="I397" i="1"/>
  <c r="H397" i="1"/>
  <c r="L396" i="1"/>
  <c r="K396" i="1"/>
  <c r="J396" i="1"/>
  <c r="I396" i="1"/>
  <c r="H396" i="1"/>
  <c r="L395" i="1"/>
  <c r="K395" i="1"/>
  <c r="J395" i="1"/>
  <c r="I395" i="1"/>
  <c r="H395" i="1"/>
  <c r="L394" i="1"/>
  <c r="K394" i="1"/>
  <c r="J394" i="1"/>
  <c r="I394" i="1"/>
  <c r="H394" i="1"/>
  <c r="L393" i="1"/>
  <c r="K393" i="1"/>
  <c r="J393" i="1"/>
  <c r="I393" i="1"/>
  <c r="H393" i="1"/>
  <c r="L392" i="1"/>
  <c r="K392" i="1"/>
  <c r="J392" i="1"/>
  <c r="I392" i="1"/>
  <c r="H392" i="1"/>
  <c r="L391" i="1"/>
  <c r="K391" i="1"/>
  <c r="J391" i="1"/>
  <c r="I391" i="1"/>
  <c r="H391" i="1"/>
  <c r="L390" i="1"/>
  <c r="K390" i="1"/>
  <c r="J390" i="1"/>
  <c r="I390" i="1"/>
  <c r="H390" i="1"/>
  <c r="L389" i="1"/>
  <c r="K389" i="1"/>
  <c r="J389" i="1"/>
  <c r="I389" i="1"/>
  <c r="H389" i="1"/>
  <c r="L388" i="1"/>
  <c r="K388" i="1"/>
  <c r="J388" i="1"/>
  <c r="I388" i="1"/>
  <c r="H388" i="1"/>
  <c r="L387" i="1"/>
  <c r="K387" i="1"/>
  <c r="J387" i="1"/>
  <c r="I387" i="1"/>
  <c r="H387" i="1"/>
  <c r="L386" i="1"/>
  <c r="K386" i="1"/>
  <c r="J386" i="1"/>
  <c r="I386" i="1"/>
  <c r="H386" i="1"/>
  <c r="L385" i="1"/>
  <c r="K385" i="1"/>
  <c r="J385" i="1"/>
  <c r="I385" i="1"/>
  <c r="H385" i="1"/>
  <c r="L384" i="1"/>
  <c r="K384" i="1"/>
  <c r="J384" i="1"/>
  <c r="I384" i="1"/>
  <c r="H384" i="1"/>
  <c r="L383" i="1"/>
  <c r="K383" i="1"/>
  <c r="J383" i="1"/>
  <c r="I383" i="1"/>
  <c r="H383" i="1"/>
  <c r="L382" i="1"/>
  <c r="K382" i="1"/>
  <c r="J382" i="1"/>
  <c r="I382" i="1"/>
  <c r="H382" i="1"/>
  <c r="L381" i="1"/>
  <c r="K381" i="1"/>
  <c r="J381" i="1"/>
  <c r="I381" i="1"/>
  <c r="H381" i="1"/>
  <c r="L380" i="1"/>
  <c r="K380" i="1"/>
  <c r="J380" i="1"/>
  <c r="I380" i="1"/>
  <c r="H380" i="1"/>
  <c r="L379" i="1"/>
  <c r="K379" i="1"/>
  <c r="J379" i="1"/>
  <c r="I379" i="1"/>
  <c r="H379" i="1"/>
  <c r="L378" i="1"/>
  <c r="K378" i="1"/>
  <c r="J378" i="1"/>
  <c r="I378" i="1"/>
  <c r="H378" i="1"/>
  <c r="L377" i="1"/>
  <c r="K377" i="1"/>
  <c r="J377" i="1"/>
  <c r="I377" i="1"/>
  <c r="H377" i="1"/>
  <c r="L376" i="1"/>
  <c r="K376" i="1"/>
  <c r="J376" i="1"/>
  <c r="I376" i="1"/>
  <c r="H376" i="1"/>
  <c r="L375" i="1"/>
  <c r="K375" i="1"/>
  <c r="J375" i="1"/>
  <c r="I375" i="1"/>
  <c r="H375" i="1"/>
  <c r="L374" i="1"/>
  <c r="K374" i="1"/>
  <c r="J374" i="1"/>
  <c r="I374" i="1"/>
  <c r="H374" i="1"/>
  <c r="L373" i="1"/>
  <c r="K373" i="1"/>
  <c r="J373" i="1"/>
  <c r="I373" i="1"/>
  <c r="H373" i="1"/>
  <c r="L372" i="1"/>
  <c r="K372" i="1"/>
  <c r="J372" i="1"/>
  <c r="I372" i="1"/>
  <c r="H372" i="1"/>
  <c r="L371" i="1"/>
  <c r="K371" i="1"/>
  <c r="J371" i="1"/>
  <c r="I371" i="1"/>
  <c r="H371" i="1"/>
  <c r="L370" i="1"/>
  <c r="K370" i="1"/>
  <c r="J370" i="1"/>
  <c r="I370" i="1"/>
  <c r="H370" i="1"/>
  <c r="L369" i="1"/>
  <c r="K369" i="1"/>
  <c r="J369" i="1"/>
  <c r="I369" i="1"/>
  <c r="H369" i="1"/>
  <c r="L368" i="1"/>
  <c r="K368" i="1"/>
  <c r="J368" i="1"/>
  <c r="I368" i="1"/>
  <c r="H368" i="1"/>
  <c r="L367" i="1"/>
  <c r="K367" i="1"/>
  <c r="J367" i="1"/>
  <c r="I367" i="1"/>
  <c r="H367" i="1"/>
  <c r="L366" i="1"/>
  <c r="K366" i="1"/>
  <c r="J366" i="1"/>
  <c r="I366" i="1"/>
  <c r="H366" i="1"/>
  <c r="L365" i="1"/>
  <c r="K365" i="1"/>
  <c r="J365" i="1"/>
  <c r="I365" i="1"/>
  <c r="H365" i="1"/>
  <c r="L364" i="1"/>
  <c r="K364" i="1"/>
  <c r="J364" i="1"/>
  <c r="I364" i="1"/>
  <c r="H364" i="1"/>
  <c r="L363" i="1"/>
  <c r="K363" i="1"/>
  <c r="J363" i="1"/>
  <c r="I363" i="1"/>
  <c r="H363" i="1"/>
  <c r="L362" i="1"/>
  <c r="K362" i="1"/>
  <c r="J362" i="1"/>
  <c r="I362" i="1"/>
  <c r="H362" i="1"/>
  <c r="L361" i="1"/>
  <c r="K361" i="1"/>
  <c r="J361" i="1"/>
  <c r="I361" i="1"/>
  <c r="H361" i="1"/>
  <c r="L360" i="1"/>
  <c r="K360" i="1"/>
  <c r="J360" i="1"/>
  <c r="I360" i="1"/>
  <c r="H360" i="1"/>
  <c r="L359" i="1"/>
  <c r="K359" i="1"/>
  <c r="J359" i="1"/>
  <c r="I359" i="1"/>
  <c r="H359" i="1"/>
  <c r="L358" i="1"/>
  <c r="K358" i="1"/>
  <c r="J358" i="1"/>
  <c r="I358" i="1"/>
  <c r="H358" i="1"/>
  <c r="L357" i="1"/>
  <c r="K357" i="1"/>
  <c r="J357" i="1"/>
  <c r="I357" i="1"/>
  <c r="H357" i="1"/>
  <c r="L356" i="1"/>
  <c r="K356" i="1"/>
  <c r="J356" i="1"/>
  <c r="I356" i="1"/>
  <c r="H356" i="1"/>
  <c r="L355" i="1"/>
  <c r="K355" i="1"/>
  <c r="J355" i="1"/>
  <c r="I355" i="1"/>
  <c r="H355" i="1"/>
  <c r="L354" i="1"/>
  <c r="K354" i="1"/>
  <c r="J354" i="1"/>
  <c r="I354" i="1"/>
  <c r="H354" i="1"/>
  <c r="L353" i="1"/>
  <c r="K353" i="1"/>
  <c r="J353" i="1"/>
  <c r="I353" i="1"/>
  <c r="H353" i="1"/>
  <c r="L352" i="1"/>
  <c r="K352" i="1"/>
  <c r="J352" i="1"/>
  <c r="I352" i="1"/>
  <c r="H352" i="1"/>
  <c r="L351" i="1"/>
  <c r="K351" i="1"/>
  <c r="J351" i="1"/>
  <c r="I351" i="1"/>
  <c r="H351" i="1"/>
  <c r="L350" i="1"/>
  <c r="K350" i="1"/>
  <c r="J350" i="1"/>
  <c r="I350" i="1"/>
  <c r="H350" i="1"/>
  <c r="L349" i="1"/>
  <c r="K349" i="1"/>
  <c r="J349" i="1"/>
  <c r="I349" i="1"/>
  <c r="H349" i="1"/>
  <c r="L348" i="1"/>
  <c r="K348" i="1"/>
  <c r="J348" i="1"/>
  <c r="I348" i="1"/>
  <c r="H348" i="1"/>
  <c r="L347" i="1"/>
  <c r="K347" i="1"/>
  <c r="J347" i="1"/>
  <c r="I347" i="1"/>
  <c r="H347" i="1"/>
  <c r="L346" i="1"/>
  <c r="K346" i="1"/>
  <c r="J346" i="1"/>
  <c r="I346" i="1"/>
  <c r="H346" i="1"/>
  <c r="L345" i="1"/>
  <c r="K345" i="1"/>
  <c r="J345" i="1"/>
  <c r="I345" i="1"/>
  <c r="H345" i="1"/>
  <c r="L344" i="1"/>
  <c r="K344" i="1"/>
  <c r="J344" i="1"/>
  <c r="I344" i="1"/>
  <c r="H344" i="1"/>
  <c r="L343" i="1"/>
  <c r="K343" i="1"/>
  <c r="J343" i="1"/>
  <c r="I343" i="1"/>
  <c r="H343" i="1"/>
  <c r="L342" i="1"/>
  <c r="K342" i="1"/>
  <c r="J342" i="1"/>
  <c r="I342" i="1"/>
  <c r="H342" i="1"/>
  <c r="L341" i="1"/>
  <c r="K341" i="1"/>
  <c r="J341" i="1"/>
  <c r="I341" i="1"/>
  <c r="H341" i="1"/>
  <c r="L340" i="1"/>
  <c r="K340" i="1"/>
  <c r="J340" i="1"/>
  <c r="I340" i="1"/>
  <c r="H340" i="1"/>
  <c r="L339" i="1"/>
  <c r="K339" i="1"/>
  <c r="J339" i="1"/>
  <c r="I339" i="1"/>
  <c r="H339" i="1"/>
  <c r="L338" i="1"/>
  <c r="K338" i="1"/>
  <c r="J338" i="1"/>
  <c r="I338" i="1"/>
  <c r="H338" i="1"/>
  <c r="L337" i="1"/>
  <c r="K337" i="1"/>
  <c r="J337" i="1"/>
  <c r="I337" i="1"/>
  <c r="H337" i="1"/>
  <c r="L336" i="1"/>
  <c r="K336" i="1"/>
  <c r="J336" i="1"/>
  <c r="I336" i="1"/>
  <c r="H336" i="1"/>
  <c r="L335" i="1"/>
  <c r="K335" i="1"/>
  <c r="J335" i="1"/>
  <c r="I335" i="1"/>
  <c r="H335" i="1"/>
  <c r="L334" i="1"/>
  <c r="K334" i="1"/>
  <c r="J334" i="1"/>
  <c r="I334" i="1"/>
  <c r="H334" i="1"/>
  <c r="L333" i="1"/>
  <c r="K333" i="1"/>
  <c r="J333" i="1"/>
  <c r="I333" i="1"/>
  <c r="H333" i="1"/>
  <c r="L332" i="1"/>
  <c r="K332" i="1"/>
  <c r="J332" i="1"/>
  <c r="I332" i="1"/>
  <c r="H332" i="1"/>
  <c r="L331" i="1"/>
  <c r="K331" i="1"/>
  <c r="J331" i="1"/>
  <c r="I331" i="1"/>
  <c r="H331" i="1"/>
  <c r="L330" i="1"/>
  <c r="K330" i="1"/>
  <c r="J330" i="1"/>
  <c r="I330" i="1"/>
  <c r="H330" i="1"/>
  <c r="L329" i="1"/>
  <c r="K329" i="1"/>
  <c r="J329" i="1"/>
  <c r="I329" i="1"/>
  <c r="H329" i="1"/>
  <c r="L328" i="1"/>
  <c r="K328" i="1"/>
  <c r="J328" i="1"/>
  <c r="I328" i="1"/>
  <c r="H328" i="1"/>
  <c r="L327" i="1"/>
  <c r="K327" i="1"/>
  <c r="J327" i="1"/>
  <c r="I327" i="1"/>
  <c r="H327" i="1"/>
  <c r="L326" i="1"/>
  <c r="K326" i="1"/>
  <c r="J326" i="1"/>
  <c r="I326" i="1"/>
  <c r="H326" i="1"/>
  <c r="L325" i="1"/>
  <c r="K325" i="1"/>
  <c r="J325" i="1"/>
  <c r="I325" i="1"/>
  <c r="H325" i="1"/>
  <c r="L324" i="1"/>
  <c r="K324" i="1"/>
  <c r="J324" i="1"/>
  <c r="I324" i="1"/>
  <c r="H324" i="1"/>
  <c r="L323" i="1"/>
  <c r="K323" i="1"/>
  <c r="J323" i="1"/>
  <c r="I323" i="1"/>
  <c r="H323" i="1"/>
  <c r="L322" i="1"/>
  <c r="K322" i="1"/>
  <c r="J322" i="1"/>
  <c r="I322" i="1"/>
  <c r="H322" i="1"/>
  <c r="L321" i="1"/>
  <c r="K321" i="1"/>
  <c r="J321" i="1"/>
  <c r="I321" i="1"/>
  <c r="H321" i="1"/>
  <c r="L320" i="1"/>
  <c r="K320" i="1"/>
  <c r="J320" i="1"/>
  <c r="I320" i="1"/>
  <c r="H320" i="1"/>
  <c r="L319" i="1"/>
  <c r="K319" i="1"/>
  <c r="J319" i="1"/>
  <c r="I319" i="1"/>
  <c r="H319" i="1"/>
  <c r="L318" i="1"/>
  <c r="K318" i="1"/>
  <c r="J318" i="1"/>
  <c r="I318" i="1"/>
  <c r="H318" i="1"/>
  <c r="L317" i="1"/>
  <c r="K317" i="1"/>
  <c r="J317" i="1"/>
  <c r="I317" i="1"/>
  <c r="H317" i="1"/>
  <c r="L316" i="1"/>
  <c r="K316" i="1"/>
  <c r="J316" i="1"/>
  <c r="I316" i="1"/>
  <c r="H316" i="1"/>
  <c r="L315" i="1"/>
  <c r="K315" i="1"/>
  <c r="J315" i="1"/>
  <c r="I315" i="1"/>
  <c r="H315" i="1"/>
  <c r="L314" i="1"/>
  <c r="K314" i="1"/>
  <c r="J314" i="1"/>
  <c r="I314" i="1"/>
  <c r="H314" i="1"/>
  <c r="L313" i="1"/>
  <c r="K313" i="1"/>
  <c r="J313" i="1"/>
  <c r="I313" i="1"/>
  <c r="H313" i="1"/>
  <c r="L312" i="1"/>
  <c r="K312" i="1"/>
  <c r="J312" i="1"/>
  <c r="I312" i="1"/>
  <c r="H312" i="1"/>
  <c r="L311" i="1"/>
  <c r="K311" i="1"/>
  <c r="J311" i="1"/>
  <c r="I311" i="1"/>
  <c r="H311" i="1"/>
  <c r="L310" i="1"/>
  <c r="K310" i="1"/>
  <c r="J310" i="1"/>
  <c r="I310" i="1"/>
  <c r="H310" i="1"/>
  <c r="L309" i="1"/>
  <c r="K309" i="1"/>
  <c r="J309" i="1"/>
  <c r="I309" i="1"/>
  <c r="H309" i="1"/>
  <c r="L308" i="1"/>
  <c r="K308" i="1"/>
  <c r="J308" i="1"/>
  <c r="I308" i="1"/>
  <c r="H308" i="1"/>
  <c r="L307" i="1"/>
  <c r="K307" i="1"/>
  <c r="J307" i="1"/>
  <c r="I307" i="1"/>
  <c r="H307" i="1"/>
  <c r="L306" i="1"/>
  <c r="K306" i="1"/>
  <c r="J306" i="1"/>
  <c r="I306" i="1"/>
  <c r="H306" i="1"/>
  <c r="L305" i="1"/>
  <c r="K305" i="1"/>
  <c r="J305" i="1"/>
  <c r="I305" i="1"/>
  <c r="H305" i="1"/>
  <c r="L304" i="1"/>
  <c r="K304" i="1"/>
  <c r="J304" i="1"/>
  <c r="I304" i="1"/>
  <c r="H304" i="1"/>
  <c r="L303" i="1"/>
  <c r="K303" i="1"/>
  <c r="J303" i="1"/>
  <c r="I303" i="1"/>
  <c r="H303" i="1"/>
  <c r="L302" i="1"/>
  <c r="K302" i="1"/>
  <c r="J302" i="1"/>
  <c r="I302" i="1"/>
  <c r="H302" i="1"/>
  <c r="L301" i="1"/>
  <c r="K301" i="1"/>
  <c r="J301" i="1"/>
  <c r="I301" i="1"/>
  <c r="H301" i="1"/>
  <c r="L300" i="1"/>
  <c r="K300" i="1"/>
  <c r="J300" i="1"/>
  <c r="I300" i="1"/>
  <c r="H300" i="1"/>
  <c r="L299" i="1"/>
  <c r="K299" i="1"/>
  <c r="J299" i="1"/>
  <c r="I299" i="1"/>
  <c r="H299" i="1"/>
  <c r="L298" i="1"/>
  <c r="K298" i="1"/>
  <c r="J298" i="1"/>
  <c r="I298" i="1"/>
  <c r="H298" i="1"/>
  <c r="L297" i="1"/>
  <c r="K297" i="1"/>
  <c r="J297" i="1"/>
  <c r="I297" i="1"/>
  <c r="H297" i="1"/>
  <c r="L296" i="1"/>
  <c r="K296" i="1"/>
  <c r="J296" i="1"/>
  <c r="I296" i="1"/>
  <c r="H296" i="1"/>
  <c r="L295" i="1"/>
  <c r="K295" i="1"/>
  <c r="J295" i="1"/>
  <c r="I295" i="1"/>
  <c r="H295" i="1"/>
  <c r="L294" i="1"/>
  <c r="K294" i="1"/>
  <c r="J294" i="1"/>
  <c r="I294" i="1"/>
  <c r="H294" i="1"/>
  <c r="L293" i="1"/>
  <c r="K293" i="1"/>
  <c r="J293" i="1"/>
  <c r="I293" i="1"/>
  <c r="H293" i="1"/>
  <c r="L292" i="1"/>
  <c r="K292" i="1"/>
  <c r="J292" i="1"/>
  <c r="I292" i="1"/>
  <c r="H292" i="1"/>
  <c r="L291" i="1"/>
  <c r="K291" i="1"/>
  <c r="J291" i="1"/>
  <c r="I291" i="1"/>
  <c r="H291" i="1"/>
  <c r="L290" i="1"/>
  <c r="K290" i="1"/>
  <c r="J290" i="1"/>
  <c r="I290" i="1"/>
  <c r="H290" i="1"/>
  <c r="L289" i="1"/>
  <c r="K289" i="1"/>
  <c r="J289" i="1"/>
  <c r="I289" i="1"/>
  <c r="H289" i="1"/>
  <c r="L288" i="1"/>
  <c r="K288" i="1"/>
  <c r="J288" i="1"/>
  <c r="I288" i="1"/>
  <c r="H288" i="1"/>
  <c r="L287" i="1"/>
  <c r="K287" i="1"/>
  <c r="J287" i="1"/>
  <c r="I287" i="1"/>
  <c r="H287" i="1"/>
  <c r="L286" i="1"/>
  <c r="K286" i="1"/>
  <c r="J286" i="1"/>
  <c r="I286" i="1"/>
  <c r="H286" i="1"/>
  <c r="L285" i="1"/>
  <c r="K285" i="1"/>
  <c r="J285" i="1"/>
  <c r="I285" i="1"/>
  <c r="H285" i="1"/>
  <c r="L284" i="1"/>
  <c r="K284" i="1"/>
  <c r="J284" i="1"/>
  <c r="I284" i="1"/>
  <c r="H284" i="1"/>
  <c r="L283" i="1"/>
  <c r="K283" i="1"/>
  <c r="J283" i="1"/>
  <c r="I283" i="1"/>
  <c r="H283" i="1"/>
  <c r="L282" i="1"/>
  <c r="K282" i="1"/>
  <c r="J282" i="1"/>
  <c r="I282" i="1"/>
  <c r="H282" i="1"/>
  <c r="L281" i="1"/>
  <c r="K281" i="1"/>
  <c r="J281" i="1"/>
  <c r="I281" i="1"/>
  <c r="H281" i="1"/>
  <c r="L280" i="1"/>
  <c r="K280" i="1"/>
  <c r="J280" i="1"/>
  <c r="I280" i="1"/>
  <c r="H280" i="1"/>
  <c r="L279" i="1"/>
  <c r="K279" i="1"/>
  <c r="J279" i="1"/>
  <c r="I279" i="1"/>
  <c r="H279" i="1"/>
  <c r="L278" i="1"/>
  <c r="K278" i="1"/>
  <c r="J278" i="1"/>
  <c r="I278" i="1"/>
  <c r="H278" i="1"/>
  <c r="L277" i="1"/>
  <c r="K277" i="1"/>
  <c r="J277" i="1"/>
  <c r="I277" i="1"/>
  <c r="H277" i="1"/>
  <c r="L276" i="1"/>
  <c r="K276" i="1"/>
  <c r="J276" i="1"/>
  <c r="I276" i="1"/>
  <c r="H276" i="1"/>
  <c r="L275" i="1"/>
  <c r="K275" i="1"/>
  <c r="J275" i="1"/>
  <c r="I275" i="1"/>
  <c r="H275" i="1"/>
  <c r="L274" i="1"/>
  <c r="K274" i="1"/>
  <c r="J274" i="1"/>
  <c r="I274" i="1"/>
  <c r="H274" i="1"/>
  <c r="L273" i="1"/>
  <c r="K273" i="1"/>
  <c r="J273" i="1"/>
  <c r="I273" i="1"/>
  <c r="H273" i="1"/>
  <c r="L272" i="1"/>
  <c r="K272" i="1"/>
  <c r="J272" i="1"/>
  <c r="I272" i="1"/>
  <c r="H272" i="1"/>
  <c r="L271" i="1"/>
  <c r="K271" i="1"/>
  <c r="J271" i="1"/>
  <c r="I271" i="1"/>
  <c r="H271" i="1"/>
  <c r="L270" i="1"/>
  <c r="K270" i="1"/>
  <c r="J270" i="1"/>
  <c r="I270" i="1"/>
  <c r="H270" i="1"/>
  <c r="L269" i="1"/>
  <c r="K269" i="1"/>
  <c r="J269" i="1"/>
  <c r="I269" i="1"/>
  <c r="H269" i="1"/>
  <c r="L268" i="1"/>
  <c r="K268" i="1"/>
  <c r="J268" i="1"/>
  <c r="I268" i="1"/>
  <c r="H268" i="1"/>
  <c r="L267" i="1"/>
  <c r="K267" i="1"/>
  <c r="J267" i="1"/>
  <c r="I267" i="1"/>
  <c r="H267" i="1"/>
  <c r="L266" i="1"/>
  <c r="K266" i="1"/>
  <c r="J266" i="1"/>
  <c r="I266" i="1"/>
  <c r="H266" i="1"/>
  <c r="L265" i="1"/>
  <c r="K265" i="1"/>
  <c r="J265" i="1"/>
  <c r="I265" i="1"/>
  <c r="H265" i="1"/>
  <c r="L264" i="1"/>
  <c r="K264" i="1"/>
  <c r="J264" i="1"/>
  <c r="I264" i="1"/>
  <c r="H264" i="1"/>
  <c r="L263" i="1"/>
  <c r="K263" i="1"/>
  <c r="J263" i="1"/>
  <c r="I263" i="1"/>
  <c r="H263" i="1"/>
  <c r="L262" i="1"/>
  <c r="K262" i="1"/>
  <c r="J262" i="1"/>
  <c r="I262" i="1"/>
  <c r="H262" i="1"/>
  <c r="L261" i="1"/>
  <c r="K261" i="1"/>
  <c r="J261" i="1"/>
  <c r="I261" i="1"/>
  <c r="H261" i="1"/>
  <c r="L260" i="1"/>
  <c r="K260" i="1"/>
  <c r="J260" i="1"/>
  <c r="I260" i="1"/>
  <c r="H260" i="1"/>
  <c r="L259" i="1"/>
  <c r="K259" i="1"/>
  <c r="J259" i="1"/>
  <c r="I259" i="1"/>
  <c r="H259" i="1"/>
  <c r="L258" i="1"/>
  <c r="K258" i="1"/>
  <c r="J258" i="1"/>
  <c r="I258" i="1"/>
  <c r="H258" i="1"/>
  <c r="L257" i="1"/>
  <c r="K257" i="1"/>
  <c r="J257" i="1"/>
  <c r="I257" i="1"/>
  <c r="H257" i="1"/>
  <c r="L256" i="1"/>
  <c r="K256" i="1"/>
  <c r="J256" i="1"/>
  <c r="I256" i="1"/>
  <c r="H256" i="1"/>
  <c r="L255" i="1"/>
  <c r="K255" i="1"/>
  <c r="J255" i="1"/>
  <c r="I255" i="1"/>
  <c r="H255" i="1"/>
  <c r="L254" i="1"/>
  <c r="K254" i="1"/>
  <c r="J254" i="1"/>
  <c r="I254" i="1"/>
  <c r="H254" i="1"/>
  <c r="L253" i="1"/>
  <c r="K253" i="1"/>
  <c r="J253" i="1"/>
  <c r="I253" i="1"/>
  <c r="H253" i="1"/>
  <c r="L252" i="1"/>
  <c r="K252" i="1"/>
  <c r="J252" i="1"/>
  <c r="I252" i="1"/>
  <c r="H252" i="1"/>
  <c r="L251" i="1"/>
  <c r="K251" i="1"/>
  <c r="J251" i="1"/>
  <c r="I251" i="1"/>
  <c r="H251" i="1"/>
  <c r="L250" i="1"/>
  <c r="K250" i="1"/>
  <c r="J250" i="1"/>
  <c r="I250" i="1"/>
  <c r="H250" i="1"/>
  <c r="L249" i="1"/>
  <c r="K249" i="1"/>
  <c r="J249" i="1"/>
  <c r="I249" i="1"/>
  <c r="H249" i="1"/>
  <c r="L248" i="1"/>
  <c r="K248" i="1"/>
  <c r="J248" i="1"/>
  <c r="I248" i="1"/>
  <c r="H248" i="1"/>
  <c r="L247" i="1"/>
  <c r="K247" i="1"/>
  <c r="J247" i="1"/>
  <c r="I247" i="1"/>
  <c r="H247" i="1"/>
  <c r="L246" i="1"/>
  <c r="K246" i="1"/>
  <c r="J246" i="1"/>
  <c r="I246" i="1"/>
  <c r="H246" i="1"/>
  <c r="L245" i="1"/>
  <c r="K245" i="1"/>
  <c r="J245" i="1"/>
  <c r="I245" i="1"/>
  <c r="H245" i="1"/>
  <c r="L244" i="1"/>
  <c r="K244" i="1"/>
  <c r="J244" i="1"/>
  <c r="I244" i="1"/>
  <c r="H244" i="1"/>
  <c r="L243" i="1"/>
  <c r="K243" i="1"/>
  <c r="J243" i="1"/>
  <c r="I243" i="1"/>
  <c r="H243" i="1"/>
  <c r="L242" i="1"/>
  <c r="K242" i="1"/>
  <c r="J242" i="1"/>
  <c r="I242" i="1"/>
  <c r="H242" i="1"/>
  <c r="L241" i="1"/>
  <c r="K241" i="1"/>
  <c r="J241" i="1"/>
  <c r="I241" i="1"/>
  <c r="H241" i="1"/>
  <c r="L240" i="1"/>
  <c r="K240" i="1"/>
  <c r="J240" i="1"/>
  <c r="I240" i="1"/>
  <c r="H240" i="1"/>
  <c r="L239" i="1"/>
  <c r="K239" i="1"/>
  <c r="J239" i="1"/>
  <c r="I239" i="1"/>
  <c r="H239" i="1"/>
  <c r="L238" i="1"/>
  <c r="K238" i="1"/>
  <c r="J238" i="1"/>
  <c r="I238" i="1"/>
  <c r="H238" i="1"/>
  <c r="L237" i="1"/>
  <c r="K237" i="1"/>
  <c r="J237" i="1"/>
  <c r="I237" i="1"/>
  <c r="H237" i="1"/>
  <c r="L236" i="1"/>
  <c r="K236" i="1"/>
  <c r="J236" i="1"/>
  <c r="I236" i="1"/>
  <c r="H236" i="1"/>
  <c r="L235" i="1"/>
  <c r="K235" i="1"/>
  <c r="J235" i="1"/>
  <c r="I235" i="1"/>
  <c r="H235" i="1"/>
  <c r="L234" i="1"/>
  <c r="K234" i="1"/>
  <c r="J234" i="1"/>
  <c r="I234" i="1"/>
  <c r="H234" i="1"/>
  <c r="L233" i="1"/>
  <c r="K233" i="1"/>
  <c r="J233" i="1"/>
  <c r="I233" i="1"/>
  <c r="H233" i="1"/>
  <c r="L232" i="1"/>
  <c r="K232" i="1"/>
  <c r="J232" i="1"/>
  <c r="I232" i="1"/>
  <c r="H232" i="1"/>
  <c r="L231" i="1"/>
  <c r="K231" i="1"/>
  <c r="J231" i="1"/>
  <c r="I231" i="1"/>
  <c r="H231" i="1"/>
  <c r="L230" i="1"/>
  <c r="K230" i="1"/>
  <c r="J230" i="1"/>
  <c r="I230" i="1"/>
  <c r="H230" i="1"/>
  <c r="L229" i="1"/>
  <c r="K229" i="1"/>
  <c r="J229" i="1"/>
  <c r="I229" i="1"/>
  <c r="H229" i="1"/>
  <c r="L228" i="1"/>
  <c r="K228" i="1"/>
  <c r="J228" i="1"/>
  <c r="I228" i="1"/>
  <c r="H228" i="1"/>
  <c r="L227" i="1"/>
  <c r="K227" i="1"/>
  <c r="J227" i="1"/>
  <c r="I227" i="1"/>
  <c r="H227" i="1"/>
  <c r="L226" i="1"/>
  <c r="K226" i="1"/>
  <c r="J226" i="1"/>
  <c r="I226" i="1"/>
  <c r="H226" i="1"/>
  <c r="L225" i="1"/>
  <c r="K225" i="1"/>
  <c r="J225" i="1"/>
  <c r="I225" i="1"/>
  <c r="H225" i="1"/>
  <c r="L224" i="1"/>
  <c r="K224" i="1"/>
  <c r="J224" i="1"/>
  <c r="I224" i="1"/>
  <c r="H224" i="1"/>
  <c r="L223" i="1"/>
  <c r="K223" i="1"/>
  <c r="J223" i="1"/>
  <c r="I223" i="1"/>
  <c r="H223" i="1"/>
  <c r="L222" i="1"/>
  <c r="K222" i="1"/>
  <c r="J222" i="1"/>
  <c r="I222" i="1"/>
  <c r="H222" i="1"/>
  <c r="L221" i="1"/>
  <c r="K221" i="1"/>
  <c r="J221" i="1"/>
  <c r="I221" i="1"/>
  <c r="H221" i="1"/>
  <c r="L220" i="1"/>
  <c r="K220" i="1"/>
  <c r="J220" i="1"/>
  <c r="I220" i="1"/>
  <c r="H220" i="1"/>
  <c r="L219" i="1"/>
  <c r="K219" i="1"/>
  <c r="J219" i="1"/>
  <c r="I219" i="1"/>
  <c r="H219" i="1"/>
  <c r="L218" i="1"/>
  <c r="K218" i="1"/>
  <c r="J218" i="1"/>
  <c r="I218" i="1"/>
  <c r="H218" i="1"/>
  <c r="L217" i="1"/>
  <c r="K217" i="1"/>
  <c r="J217" i="1"/>
  <c r="I217" i="1"/>
  <c r="H217" i="1"/>
  <c r="L216" i="1"/>
  <c r="K216" i="1"/>
  <c r="J216" i="1"/>
  <c r="I216" i="1"/>
  <c r="H216" i="1"/>
  <c r="L215" i="1"/>
  <c r="K215" i="1"/>
  <c r="J215" i="1"/>
  <c r="I215" i="1"/>
  <c r="H215" i="1"/>
  <c r="L214" i="1"/>
  <c r="K214" i="1"/>
  <c r="J214" i="1"/>
  <c r="I214" i="1"/>
  <c r="H214" i="1"/>
  <c r="L213" i="1"/>
  <c r="K213" i="1"/>
  <c r="J213" i="1"/>
  <c r="I213" i="1"/>
  <c r="H213" i="1"/>
  <c r="L212" i="1"/>
  <c r="K212" i="1"/>
  <c r="J212" i="1"/>
  <c r="I212" i="1"/>
  <c r="H212" i="1"/>
  <c r="L211" i="1"/>
  <c r="K211" i="1"/>
  <c r="J211" i="1"/>
  <c r="I211" i="1"/>
  <c r="H211" i="1"/>
  <c r="L210" i="1"/>
  <c r="K210" i="1"/>
  <c r="J210" i="1"/>
  <c r="I210" i="1"/>
  <c r="H210" i="1"/>
  <c r="L209" i="1"/>
  <c r="K209" i="1"/>
  <c r="J209" i="1"/>
  <c r="I209" i="1"/>
  <c r="H209" i="1"/>
  <c r="L208" i="1"/>
  <c r="K208" i="1"/>
  <c r="J208" i="1"/>
  <c r="I208" i="1"/>
  <c r="H208" i="1"/>
  <c r="L207" i="1"/>
  <c r="K207" i="1"/>
  <c r="J207" i="1"/>
  <c r="I207" i="1"/>
  <c r="H207" i="1"/>
  <c r="L206" i="1"/>
  <c r="K206" i="1"/>
  <c r="J206" i="1"/>
  <c r="I206" i="1"/>
  <c r="H206" i="1"/>
  <c r="L205" i="1"/>
  <c r="K205" i="1"/>
  <c r="J205" i="1"/>
  <c r="I205" i="1"/>
  <c r="H205" i="1"/>
  <c r="L204" i="1"/>
  <c r="K204" i="1"/>
  <c r="J204" i="1"/>
  <c r="I204" i="1"/>
  <c r="H204" i="1"/>
  <c r="L203" i="1"/>
  <c r="K203" i="1"/>
  <c r="J203" i="1"/>
  <c r="I203" i="1"/>
  <c r="H203" i="1"/>
  <c r="L202" i="1"/>
  <c r="K202" i="1"/>
  <c r="J202" i="1"/>
  <c r="I202" i="1"/>
  <c r="H202" i="1"/>
  <c r="L201" i="1"/>
  <c r="K201" i="1"/>
  <c r="J201" i="1"/>
  <c r="I201" i="1"/>
  <c r="H201" i="1"/>
  <c r="L200" i="1"/>
  <c r="K200" i="1"/>
  <c r="J200" i="1"/>
  <c r="I200" i="1"/>
  <c r="H200" i="1"/>
  <c r="L199" i="1"/>
  <c r="K199" i="1"/>
  <c r="J199" i="1"/>
  <c r="I199" i="1"/>
  <c r="H199" i="1"/>
  <c r="L198" i="1"/>
  <c r="K198" i="1"/>
  <c r="J198" i="1"/>
  <c r="I198" i="1"/>
  <c r="H198" i="1"/>
  <c r="L197" i="1"/>
  <c r="K197" i="1"/>
  <c r="J197" i="1"/>
  <c r="I197" i="1"/>
  <c r="H197" i="1"/>
  <c r="L196" i="1"/>
  <c r="K196" i="1"/>
  <c r="J196" i="1"/>
  <c r="I196" i="1"/>
  <c r="H196" i="1"/>
  <c r="L195" i="1"/>
  <c r="K195" i="1"/>
  <c r="J195" i="1"/>
  <c r="I195" i="1"/>
  <c r="H195" i="1"/>
  <c r="L194" i="1"/>
  <c r="K194" i="1"/>
  <c r="J194" i="1"/>
  <c r="I194" i="1"/>
  <c r="H194" i="1"/>
  <c r="L193" i="1"/>
  <c r="K193" i="1"/>
  <c r="J193" i="1"/>
  <c r="I193" i="1"/>
  <c r="H193" i="1"/>
  <c r="L192" i="1"/>
  <c r="K192" i="1"/>
  <c r="J192" i="1"/>
  <c r="I192" i="1"/>
  <c r="H192" i="1"/>
  <c r="L191" i="1"/>
  <c r="K191" i="1"/>
  <c r="J191" i="1"/>
  <c r="I191" i="1"/>
  <c r="H191" i="1"/>
  <c r="L190" i="1"/>
  <c r="K190" i="1"/>
  <c r="J190" i="1"/>
  <c r="I190" i="1"/>
  <c r="H190" i="1"/>
  <c r="L189" i="1"/>
  <c r="K189" i="1"/>
  <c r="J189" i="1"/>
  <c r="I189" i="1"/>
  <c r="H189" i="1"/>
  <c r="L188" i="1"/>
  <c r="K188" i="1"/>
  <c r="J188" i="1"/>
  <c r="I188" i="1"/>
  <c r="H188" i="1"/>
  <c r="L187" i="1"/>
  <c r="K187" i="1"/>
  <c r="J187" i="1"/>
  <c r="I187" i="1"/>
  <c r="H187" i="1"/>
  <c r="L186" i="1"/>
  <c r="K186" i="1"/>
  <c r="J186" i="1"/>
  <c r="I186" i="1"/>
  <c r="H186" i="1"/>
  <c r="L185" i="1"/>
  <c r="K185" i="1"/>
  <c r="J185" i="1"/>
  <c r="I185" i="1"/>
  <c r="H185" i="1"/>
  <c r="L184" i="1"/>
  <c r="K184" i="1"/>
  <c r="J184" i="1"/>
  <c r="I184" i="1"/>
  <c r="H184" i="1"/>
  <c r="L183" i="1"/>
  <c r="K183" i="1"/>
  <c r="J183" i="1"/>
  <c r="I183" i="1"/>
  <c r="H183" i="1"/>
  <c r="L182" i="1"/>
  <c r="K182" i="1"/>
  <c r="J182" i="1"/>
  <c r="I182" i="1"/>
  <c r="H182" i="1"/>
  <c r="L181" i="1"/>
  <c r="K181" i="1"/>
  <c r="J181" i="1"/>
  <c r="I181" i="1"/>
  <c r="H181" i="1"/>
  <c r="L180" i="1"/>
  <c r="K180" i="1"/>
  <c r="J180" i="1"/>
  <c r="I180" i="1"/>
  <c r="H180" i="1"/>
  <c r="L179" i="1"/>
  <c r="K179" i="1"/>
  <c r="J179" i="1"/>
  <c r="I179" i="1"/>
  <c r="H179" i="1"/>
  <c r="L178" i="1"/>
  <c r="K178" i="1"/>
  <c r="J178" i="1"/>
  <c r="I178" i="1"/>
  <c r="H178" i="1"/>
  <c r="L177" i="1"/>
  <c r="K177" i="1"/>
  <c r="J177" i="1"/>
  <c r="I177" i="1"/>
  <c r="H177" i="1"/>
  <c r="L176" i="1"/>
  <c r="K176" i="1"/>
  <c r="J176" i="1"/>
  <c r="I176" i="1"/>
  <c r="H176" i="1"/>
  <c r="L175" i="1"/>
  <c r="K175" i="1"/>
  <c r="J175" i="1"/>
  <c r="I175" i="1"/>
  <c r="H175" i="1"/>
  <c r="L174" i="1"/>
  <c r="K174" i="1"/>
  <c r="J174" i="1"/>
  <c r="I174" i="1"/>
  <c r="H174" i="1"/>
  <c r="L173" i="1"/>
  <c r="K173" i="1"/>
  <c r="J173" i="1"/>
  <c r="I173" i="1"/>
  <c r="H173" i="1"/>
  <c r="L172" i="1"/>
  <c r="K172" i="1"/>
  <c r="J172" i="1"/>
  <c r="I172" i="1"/>
  <c r="H172" i="1"/>
  <c r="L171" i="1"/>
  <c r="K171" i="1"/>
  <c r="J171" i="1"/>
  <c r="I171" i="1"/>
  <c r="H171" i="1"/>
  <c r="L170" i="1"/>
  <c r="K170" i="1"/>
  <c r="J170" i="1"/>
  <c r="I170" i="1"/>
  <c r="H170" i="1"/>
  <c r="L169" i="1"/>
  <c r="K169" i="1"/>
  <c r="J169" i="1"/>
  <c r="I169" i="1"/>
  <c r="H169" i="1"/>
  <c r="L168" i="1"/>
  <c r="K168" i="1"/>
  <c r="J168" i="1"/>
  <c r="I168" i="1"/>
  <c r="H168" i="1"/>
  <c r="L167" i="1"/>
  <c r="K167" i="1"/>
  <c r="J167" i="1"/>
  <c r="I167" i="1"/>
  <c r="H167" i="1"/>
  <c r="L166" i="1"/>
  <c r="K166" i="1"/>
  <c r="J166" i="1"/>
  <c r="I166" i="1"/>
  <c r="H166" i="1"/>
  <c r="L165" i="1"/>
  <c r="K165" i="1"/>
  <c r="J165" i="1"/>
  <c r="I165" i="1"/>
  <c r="H165" i="1"/>
  <c r="L164" i="1"/>
  <c r="K164" i="1"/>
  <c r="J164" i="1"/>
  <c r="I164" i="1"/>
  <c r="H164" i="1"/>
  <c r="L163" i="1"/>
  <c r="K163" i="1"/>
  <c r="J163" i="1"/>
  <c r="I163" i="1"/>
  <c r="H163" i="1"/>
  <c r="L162" i="1"/>
  <c r="K162" i="1"/>
  <c r="J162" i="1"/>
  <c r="I162" i="1"/>
  <c r="H162" i="1"/>
  <c r="L161" i="1"/>
  <c r="K161" i="1"/>
  <c r="J161" i="1"/>
  <c r="I161" i="1"/>
  <c r="H161" i="1"/>
  <c r="L160" i="1"/>
  <c r="K160" i="1"/>
  <c r="J160" i="1"/>
  <c r="I160" i="1"/>
  <c r="H160" i="1"/>
  <c r="L159" i="1"/>
  <c r="K159" i="1"/>
  <c r="J159" i="1"/>
  <c r="I159" i="1"/>
  <c r="H159" i="1"/>
  <c r="L158" i="1"/>
  <c r="K158" i="1"/>
  <c r="J158" i="1"/>
  <c r="I158" i="1"/>
  <c r="H158" i="1"/>
  <c r="L157" i="1"/>
  <c r="K157" i="1"/>
  <c r="J157" i="1"/>
  <c r="I157" i="1"/>
  <c r="H157" i="1"/>
  <c r="L156" i="1"/>
  <c r="K156" i="1"/>
  <c r="J156" i="1"/>
  <c r="I156" i="1"/>
  <c r="H156" i="1"/>
  <c r="L155" i="1"/>
  <c r="K155" i="1"/>
  <c r="J155" i="1"/>
  <c r="I155" i="1"/>
  <c r="H155" i="1"/>
  <c r="L154" i="1"/>
  <c r="K154" i="1"/>
  <c r="J154" i="1"/>
  <c r="I154" i="1"/>
  <c r="H154" i="1"/>
  <c r="L153" i="1"/>
  <c r="K153" i="1"/>
  <c r="J153" i="1"/>
  <c r="I153" i="1"/>
  <c r="H153" i="1"/>
  <c r="L152" i="1"/>
  <c r="K152" i="1"/>
  <c r="J152" i="1"/>
  <c r="I152" i="1"/>
  <c r="H152" i="1"/>
  <c r="L151" i="1"/>
  <c r="K151" i="1"/>
  <c r="J151" i="1"/>
  <c r="I151" i="1"/>
  <c r="H151" i="1"/>
  <c r="L150" i="1"/>
  <c r="K150" i="1"/>
  <c r="J150" i="1"/>
  <c r="I150" i="1"/>
  <c r="H150" i="1"/>
  <c r="L149" i="1"/>
  <c r="K149" i="1"/>
  <c r="J149" i="1"/>
  <c r="I149" i="1"/>
  <c r="H149" i="1"/>
  <c r="L148" i="1"/>
  <c r="K148" i="1"/>
  <c r="J148" i="1"/>
  <c r="I148" i="1"/>
  <c r="H148" i="1"/>
  <c r="L147" i="1"/>
  <c r="K147" i="1"/>
  <c r="J147" i="1"/>
  <c r="I147" i="1"/>
  <c r="H147" i="1"/>
  <c r="L146" i="1"/>
  <c r="K146" i="1"/>
  <c r="J146" i="1"/>
  <c r="I146" i="1"/>
  <c r="H146" i="1"/>
  <c r="L145" i="1"/>
  <c r="K145" i="1"/>
  <c r="J145" i="1"/>
  <c r="I145" i="1"/>
  <c r="H145" i="1"/>
  <c r="L144" i="1"/>
  <c r="K144" i="1"/>
  <c r="J144" i="1"/>
  <c r="I144" i="1"/>
  <c r="H144" i="1"/>
  <c r="L143" i="1"/>
  <c r="K143" i="1"/>
  <c r="J143" i="1"/>
  <c r="I143" i="1"/>
  <c r="H143" i="1"/>
  <c r="L142" i="1"/>
  <c r="K142" i="1"/>
  <c r="J142" i="1"/>
  <c r="I142" i="1"/>
  <c r="H142" i="1"/>
  <c r="L141" i="1"/>
  <c r="K141" i="1"/>
  <c r="J141" i="1"/>
  <c r="I141" i="1"/>
  <c r="H141" i="1"/>
  <c r="L140" i="1"/>
  <c r="K140" i="1"/>
  <c r="J140" i="1"/>
  <c r="I140" i="1"/>
  <c r="H140" i="1"/>
  <c r="L139" i="1"/>
  <c r="K139" i="1"/>
  <c r="J139" i="1"/>
  <c r="I139" i="1"/>
  <c r="H139" i="1"/>
  <c r="L138" i="1"/>
  <c r="K138" i="1"/>
  <c r="J138" i="1"/>
  <c r="I138" i="1"/>
  <c r="H138" i="1"/>
  <c r="L137" i="1"/>
  <c r="K137" i="1"/>
  <c r="J137" i="1"/>
  <c r="I137" i="1"/>
  <c r="H137" i="1"/>
  <c r="L136" i="1"/>
  <c r="K136" i="1"/>
  <c r="J136" i="1"/>
  <c r="I136" i="1"/>
  <c r="H136" i="1"/>
  <c r="L135" i="1"/>
  <c r="K135" i="1"/>
  <c r="J135" i="1"/>
  <c r="I135" i="1"/>
  <c r="H135" i="1"/>
  <c r="L134" i="1"/>
  <c r="K134" i="1"/>
  <c r="J134" i="1"/>
  <c r="I134" i="1"/>
  <c r="H134" i="1"/>
  <c r="L133" i="1"/>
  <c r="K133" i="1"/>
  <c r="J133" i="1"/>
  <c r="I133" i="1"/>
  <c r="H133" i="1"/>
  <c r="L132" i="1"/>
  <c r="K132" i="1"/>
  <c r="J132" i="1"/>
  <c r="I132" i="1"/>
  <c r="H132" i="1"/>
  <c r="L131" i="1"/>
  <c r="K131" i="1"/>
  <c r="J131" i="1"/>
  <c r="I131" i="1"/>
  <c r="H131" i="1"/>
  <c r="L130" i="1"/>
  <c r="K130" i="1"/>
  <c r="J130" i="1"/>
  <c r="I130" i="1"/>
  <c r="H130" i="1"/>
  <c r="L129" i="1"/>
  <c r="K129" i="1"/>
  <c r="J129" i="1"/>
  <c r="I129" i="1"/>
  <c r="H129" i="1"/>
  <c r="L128" i="1"/>
  <c r="K128" i="1"/>
  <c r="J128" i="1"/>
  <c r="I128" i="1"/>
  <c r="H128" i="1"/>
  <c r="L127" i="1"/>
  <c r="K127" i="1"/>
  <c r="J127" i="1"/>
  <c r="I127" i="1"/>
  <c r="H127" i="1"/>
  <c r="L126" i="1"/>
  <c r="K126" i="1"/>
  <c r="J126" i="1"/>
  <c r="I126" i="1"/>
  <c r="H126" i="1"/>
  <c r="L125" i="1"/>
  <c r="K125" i="1"/>
  <c r="J125" i="1"/>
  <c r="I125" i="1"/>
  <c r="H125" i="1"/>
  <c r="L124" i="1"/>
  <c r="K124" i="1"/>
  <c r="J124" i="1"/>
  <c r="I124" i="1"/>
  <c r="H124" i="1"/>
  <c r="L123" i="1"/>
  <c r="K123" i="1"/>
  <c r="J123" i="1"/>
  <c r="I123" i="1"/>
  <c r="H123" i="1"/>
  <c r="L122" i="1"/>
  <c r="K122" i="1"/>
  <c r="J122" i="1"/>
  <c r="I122" i="1"/>
  <c r="H122" i="1"/>
  <c r="L121" i="1"/>
  <c r="K121" i="1"/>
  <c r="J121" i="1"/>
  <c r="I121" i="1"/>
  <c r="H121" i="1"/>
  <c r="L120" i="1"/>
  <c r="K120" i="1"/>
  <c r="J120" i="1"/>
  <c r="I120" i="1"/>
  <c r="H120" i="1"/>
  <c r="L119" i="1"/>
  <c r="K119" i="1"/>
  <c r="J119" i="1"/>
  <c r="I119" i="1"/>
  <c r="H119" i="1"/>
  <c r="L118" i="1"/>
  <c r="K118" i="1"/>
  <c r="J118" i="1"/>
  <c r="I118" i="1"/>
  <c r="H118" i="1"/>
  <c r="L117" i="1"/>
  <c r="K117" i="1"/>
  <c r="J117" i="1"/>
  <c r="I117" i="1"/>
  <c r="H117" i="1"/>
  <c r="L116" i="1"/>
  <c r="K116" i="1"/>
  <c r="J116" i="1"/>
  <c r="I116" i="1"/>
  <c r="H116" i="1"/>
  <c r="L115" i="1"/>
  <c r="K115" i="1"/>
  <c r="J115" i="1"/>
  <c r="I115" i="1"/>
  <c r="H115" i="1"/>
  <c r="L114" i="1"/>
  <c r="K114" i="1"/>
  <c r="J114" i="1"/>
  <c r="I114" i="1"/>
  <c r="H114" i="1"/>
  <c r="L113" i="1"/>
  <c r="K113" i="1"/>
  <c r="J113" i="1"/>
  <c r="I113" i="1"/>
  <c r="H113" i="1"/>
  <c r="L112" i="1"/>
  <c r="K112" i="1"/>
  <c r="J112" i="1"/>
  <c r="I112" i="1"/>
  <c r="H112" i="1"/>
  <c r="L111" i="1"/>
  <c r="K111" i="1"/>
  <c r="J111" i="1"/>
  <c r="I111" i="1"/>
  <c r="H111" i="1"/>
  <c r="L110" i="1"/>
  <c r="K110" i="1"/>
  <c r="J110" i="1"/>
  <c r="I110" i="1"/>
  <c r="H110" i="1"/>
  <c r="L109" i="1"/>
  <c r="K109" i="1"/>
  <c r="J109" i="1"/>
  <c r="I109" i="1"/>
  <c r="H109" i="1"/>
  <c r="L108" i="1"/>
  <c r="K108" i="1"/>
  <c r="J108" i="1"/>
  <c r="I108" i="1"/>
  <c r="H108" i="1"/>
  <c r="L107" i="1"/>
  <c r="K107" i="1"/>
  <c r="J107" i="1"/>
  <c r="I107" i="1"/>
  <c r="H107" i="1"/>
  <c r="L106" i="1"/>
  <c r="K106" i="1"/>
  <c r="J106" i="1"/>
  <c r="I106" i="1"/>
  <c r="H106" i="1"/>
  <c r="L105" i="1"/>
  <c r="K105" i="1"/>
  <c r="J105" i="1"/>
  <c r="I105" i="1"/>
  <c r="H105" i="1"/>
  <c r="L104" i="1"/>
  <c r="K104" i="1"/>
  <c r="J104" i="1"/>
  <c r="I104" i="1"/>
  <c r="H104" i="1"/>
  <c r="L103" i="1"/>
  <c r="K103" i="1"/>
  <c r="J103" i="1"/>
  <c r="I103" i="1"/>
  <c r="H103" i="1"/>
  <c r="L102" i="1"/>
  <c r="K102" i="1"/>
  <c r="J102" i="1"/>
  <c r="I102" i="1"/>
  <c r="H102" i="1"/>
  <c r="L101" i="1"/>
  <c r="K101" i="1"/>
  <c r="J101" i="1"/>
  <c r="I101" i="1"/>
  <c r="H101" i="1"/>
  <c r="L100" i="1"/>
  <c r="K100" i="1"/>
  <c r="J100" i="1"/>
  <c r="I100" i="1"/>
  <c r="H100" i="1"/>
  <c r="L99" i="1"/>
  <c r="K99" i="1"/>
  <c r="J99" i="1"/>
  <c r="I99" i="1"/>
  <c r="H99" i="1"/>
  <c r="L98" i="1"/>
  <c r="K98" i="1"/>
  <c r="J98" i="1"/>
  <c r="I98" i="1"/>
  <c r="H98" i="1"/>
  <c r="L97" i="1"/>
  <c r="K97" i="1"/>
  <c r="J97" i="1"/>
  <c r="I97" i="1"/>
  <c r="H97" i="1"/>
  <c r="L96" i="1"/>
  <c r="K96" i="1"/>
  <c r="J96" i="1"/>
  <c r="I96" i="1"/>
  <c r="H96" i="1"/>
  <c r="L95" i="1"/>
  <c r="K95" i="1"/>
  <c r="J95" i="1"/>
  <c r="I95" i="1"/>
  <c r="H95" i="1"/>
  <c r="L94" i="1"/>
  <c r="K94" i="1"/>
  <c r="J94" i="1"/>
  <c r="I94" i="1"/>
  <c r="H94" i="1"/>
  <c r="L93" i="1"/>
  <c r="K93" i="1"/>
  <c r="J93" i="1"/>
  <c r="I93" i="1"/>
  <c r="H93" i="1"/>
  <c r="L92" i="1"/>
  <c r="K92" i="1"/>
  <c r="J92" i="1"/>
  <c r="I92" i="1"/>
  <c r="H92" i="1"/>
  <c r="L91" i="1"/>
  <c r="K91" i="1"/>
  <c r="J91" i="1"/>
  <c r="I91" i="1"/>
  <c r="H91" i="1"/>
  <c r="L90" i="1"/>
  <c r="K90" i="1"/>
  <c r="J90" i="1"/>
  <c r="I90" i="1"/>
  <c r="H90" i="1"/>
  <c r="L89" i="1"/>
  <c r="K89" i="1"/>
  <c r="J89" i="1"/>
  <c r="I89" i="1"/>
  <c r="H89" i="1"/>
  <c r="L88" i="1"/>
  <c r="K88" i="1"/>
  <c r="J88" i="1"/>
  <c r="I88" i="1"/>
  <c r="H88" i="1"/>
  <c r="L87" i="1"/>
  <c r="K87" i="1"/>
  <c r="J87" i="1"/>
  <c r="I87" i="1"/>
  <c r="H87" i="1"/>
  <c r="L86" i="1"/>
  <c r="K86" i="1"/>
  <c r="J86" i="1"/>
  <c r="I86" i="1"/>
  <c r="H86" i="1"/>
  <c r="L85" i="1"/>
  <c r="K85" i="1"/>
  <c r="J85" i="1"/>
  <c r="I85" i="1"/>
  <c r="H85" i="1"/>
  <c r="L84" i="1"/>
  <c r="K84" i="1"/>
  <c r="J84" i="1"/>
  <c r="I84" i="1"/>
  <c r="H84" i="1"/>
  <c r="L83" i="1"/>
  <c r="K83" i="1"/>
  <c r="J83" i="1"/>
  <c r="I83" i="1"/>
  <c r="H83" i="1"/>
  <c r="L82" i="1"/>
  <c r="K82" i="1"/>
  <c r="J82" i="1"/>
  <c r="I82" i="1"/>
  <c r="H82" i="1"/>
  <c r="L81" i="1"/>
  <c r="K81" i="1"/>
  <c r="J81" i="1"/>
  <c r="I81" i="1"/>
  <c r="H81" i="1"/>
  <c r="L80" i="1"/>
  <c r="K80" i="1"/>
  <c r="J80" i="1"/>
  <c r="I80" i="1"/>
  <c r="H80" i="1"/>
  <c r="L79" i="1"/>
  <c r="K79" i="1"/>
  <c r="J79" i="1"/>
  <c r="I79" i="1"/>
  <c r="H79" i="1"/>
  <c r="L78" i="1"/>
  <c r="K78" i="1"/>
  <c r="J78" i="1"/>
  <c r="I78" i="1"/>
  <c r="H78" i="1"/>
  <c r="L77" i="1"/>
  <c r="K77" i="1"/>
  <c r="J77" i="1"/>
  <c r="I77" i="1"/>
  <c r="H77" i="1"/>
  <c r="L76" i="1"/>
  <c r="K76" i="1"/>
  <c r="J76" i="1"/>
  <c r="I76" i="1"/>
  <c r="H76" i="1"/>
  <c r="L75" i="1"/>
  <c r="K75" i="1"/>
  <c r="J75" i="1"/>
  <c r="I75" i="1"/>
  <c r="H75" i="1"/>
  <c r="L74" i="1"/>
  <c r="K74" i="1"/>
  <c r="J74" i="1"/>
  <c r="I74" i="1"/>
  <c r="H74" i="1"/>
  <c r="L73" i="1"/>
  <c r="K73" i="1"/>
  <c r="J73" i="1"/>
  <c r="I73" i="1"/>
  <c r="H73" i="1"/>
  <c r="L72" i="1"/>
  <c r="K72" i="1"/>
  <c r="J72" i="1"/>
  <c r="I72" i="1"/>
  <c r="H72" i="1"/>
  <c r="L71" i="1"/>
  <c r="K71" i="1"/>
  <c r="J71" i="1"/>
  <c r="I71" i="1"/>
  <c r="H71" i="1"/>
  <c r="L70" i="1"/>
  <c r="K70" i="1"/>
  <c r="J70" i="1"/>
  <c r="I70" i="1"/>
  <c r="H70" i="1"/>
  <c r="L69" i="1"/>
  <c r="K69" i="1"/>
  <c r="J69" i="1"/>
  <c r="I69" i="1"/>
  <c r="H69" i="1"/>
  <c r="L68" i="1"/>
  <c r="K68" i="1"/>
  <c r="J68" i="1"/>
  <c r="I68" i="1"/>
  <c r="H68" i="1"/>
  <c r="L67" i="1"/>
  <c r="K67" i="1"/>
  <c r="J67" i="1"/>
  <c r="I67" i="1"/>
  <c r="H67" i="1"/>
  <c r="L66" i="1"/>
  <c r="K66" i="1"/>
  <c r="J66" i="1"/>
  <c r="I66" i="1"/>
  <c r="H66" i="1"/>
  <c r="L65" i="1"/>
  <c r="K65" i="1"/>
  <c r="J65" i="1"/>
  <c r="I65" i="1"/>
  <c r="H65" i="1"/>
  <c r="L64" i="1"/>
  <c r="K64" i="1"/>
  <c r="J64" i="1"/>
  <c r="I64" i="1"/>
  <c r="H64" i="1"/>
  <c r="L63" i="1"/>
  <c r="K63" i="1"/>
  <c r="J63" i="1"/>
  <c r="I63" i="1"/>
  <c r="H63" i="1"/>
  <c r="L62" i="1"/>
  <c r="K62" i="1"/>
  <c r="J62" i="1"/>
  <c r="I62" i="1"/>
  <c r="H62" i="1"/>
  <c r="L61" i="1"/>
  <c r="K61" i="1"/>
  <c r="J61" i="1"/>
  <c r="I61" i="1"/>
  <c r="H61" i="1"/>
  <c r="L60" i="1"/>
  <c r="K60" i="1"/>
  <c r="J60" i="1"/>
  <c r="I60" i="1"/>
  <c r="H60" i="1"/>
  <c r="L59" i="1"/>
  <c r="K59" i="1"/>
  <c r="J59" i="1"/>
  <c r="I59" i="1"/>
  <c r="H59" i="1"/>
  <c r="L58" i="1"/>
  <c r="K58" i="1"/>
  <c r="J58" i="1"/>
  <c r="I58" i="1"/>
  <c r="H58" i="1"/>
  <c r="L57" i="1"/>
  <c r="K57" i="1"/>
  <c r="J57" i="1"/>
  <c r="I57" i="1"/>
  <c r="H57" i="1"/>
  <c r="L56" i="1"/>
  <c r="K56" i="1"/>
  <c r="J56" i="1"/>
  <c r="I56" i="1"/>
  <c r="H56" i="1"/>
  <c r="L55" i="1"/>
  <c r="K55" i="1"/>
  <c r="J55" i="1"/>
  <c r="I55" i="1"/>
  <c r="H55" i="1"/>
  <c r="L54" i="1"/>
  <c r="K54" i="1"/>
  <c r="J54" i="1"/>
  <c r="I54" i="1"/>
  <c r="H54" i="1"/>
  <c r="L53" i="1"/>
  <c r="K53" i="1"/>
  <c r="J53" i="1"/>
  <c r="I53" i="1"/>
  <c r="H53" i="1"/>
  <c r="L52" i="1"/>
  <c r="K52" i="1"/>
  <c r="J52" i="1"/>
  <c r="I52" i="1"/>
  <c r="H52" i="1"/>
  <c r="L51" i="1"/>
  <c r="K51" i="1"/>
  <c r="J51" i="1"/>
  <c r="I51" i="1"/>
  <c r="H51" i="1"/>
  <c r="L50" i="1"/>
  <c r="K50" i="1"/>
  <c r="J50" i="1"/>
  <c r="I50" i="1"/>
  <c r="H50" i="1"/>
  <c r="L49" i="1"/>
  <c r="K49" i="1"/>
  <c r="J49" i="1"/>
  <c r="I49" i="1"/>
  <c r="H49" i="1"/>
  <c r="L48" i="1"/>
  <c r="K48" i="1"/>
  <c r="J48" i="1"/>
  <c r="I48" i="1"/>
  <c r="H48" i="1"/>
  <c r="L47" i="1"/>
  <c r="K47" i="1"/>
  <c r="J47" i="1"/>
  <c r="I47" i="1"/>
  <c r="H47" i="1"/>
  <c r="L46" i="1"/>
  <c r="K46" i="1"/>
  <c r="J46" i="1"/>
  <c r="I46" i="1"/>
  <c r="H46" i="1"/>
  <c r="L45" i="1"/>
  <c r="K45" i="1"/>
  <c r="J45" i="1"/>
  <c r="I45" i="1"/>
  <c r="H45" i="1"/>
  <c r="L44" i="1"/>
  <c r="K44" i="1"/>
  <c r="J44" i="1"/>
  <c r="I44" i="1"/>
  <c r="H44" i="1"/>
  <c r="L43" i="1"/>
  <c r="K43" i="1"/>
  <c r="J43" i="1"/>
  <c r="I43" i="1"/>
  <c r="H43" i="1"/>
  <c r="L42" i="1"/>
  <c r="K42" i="1"/>
  <c r="J42" i="1"/>
  <c r="I42" i="1"/>
  <c r="H42" i="1"/>
  <c r="L41" i="1"/>
  <c r="K41" i="1"/>
  <c r="J41" i="1"/>
  <c r="I41" i="1"/>
  <c r="H41" i="1"/>
  <c r="L40" i="1"/>
  <c r="K40" i="1"/>
  <c r="J40" i="1"/>
  <c r="I40" i="1"/>
  <c r="H40" i="1"/>
  <c r="L39" i="1"/>
  <c r="K39" i="1"/>
  <c r="J39" i="1"/>
  <c r="I39" i="1"/>
  <c r="H39" i="1"/>
  <c r="L38" i="1"/>
  <c r="K38" i="1"/>
  <c r="J38" i="1"/>
  <c r="I38" i="1"/>
  <c r="H38" i="1"/>
  <c r="L37" i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L9" i="1"/>
  <c r="K9" i="1"/>
  <c r="J9" i="1"/>
  <c r="I9" i="1"/>
  <c r="H9" i="1"/>
  <c r="L8" i="1"/>
  <c r="K8" i="1"/>
  <c r="J8" i="1"/>
  <c r="I8" i="1"/>
  <c r="H8" i="1"/>
  <c r="L7" i="1"/>
  <c r="K7" i="1"/>
  <c r="J7" i="1"/>
  <c r="I7" i="1"/>
  <c r="H7" i="1"/>
  <c r="L6" i="1"/>
  <c r="K6" i="1"/>
  <c r="K2103" i="1" s="1"/>
  <c r="J6" i="1"/>
  <c r="I6" i="1"/>
  <c r="H6" i="1"/>
  <c r="L5" i="1"/>
  <c r="L2103" i="1" s="1"/>
  <c r="K5" i="1"/>
  <c r="J5" i="1"/>
  <c r="I5" i="1"/>
  <c r="H5" i="1"/>
</calcChain>
</file>

<file path=xl/sharedStrings.xml><?xml version="1.0" encoding="utf-8"?>
<sst xmlns="http://schemas.openxmlformats.org/spreadsheetml/2006/main" count="14311" uniqueCount="4320">
  <si>
    <t>Beholdningsoversikt</t>
  </si>
  <si>
    <t>Storebrand Indeks Alle Markeder</t>
  </si>
  <si>
    <t>Verdipapirnavn</t>
  </si>
  <si>
    <t>ID</t>
  </si>
  <si>
    <t>Sektor</t>
  </si>
  <si>
    <t>Noteringsland</t>
  </si>
  <si>
    <t>Utstederland</t>
  </si>
  <si>
    <t>Valuta</t>
  </si>
  <si>
    <t>Instrumenttype</t>
  </si>
  <si>
    <t>Antall/pålydende</t>
  </si>
  <si>
    <t>Markedskurs</t>
  </si>
  <si>
    <t>Valutakurs</t>
  </si>
  <si>
    <t>Markedsverdi</t>
  </si>
  <si>
    <t>Andel av total markedsverdi</t>
  </si>
  <si>
    <t>Uoppgjorte poster</t>
  </si>
  <si>
    <t>SAM Unsettled</t>
  </si>
  <si>
    <t>CHF</t>
  </si>
  <si>
    <t>Unsettled</t>
  </si>
  <si>
    <t>EUR</t>
  </si>
  <si>
    <t>DKK</t>
  </si>
  <si>
    <t>GBP</t>
  </si>
  <si>
    <t>USD</t>
  </si>
  <si>
    <t>PHP</t>
  </si>
  <si>
    <t>SL HK2007 HKD 20190905</t>
  </si>
  <si>
    <t>SAM 8932523</t>
  </si>
  <si>
    <t>CH</t>
  </si>
  <si>
    <t>HKD</t>
  </si>
  <si>
    <t>Securities lending</t>
  </si>
  <si>
    <t>SL NLHEIO EUR 20190905</t>
  </si>
  <si>
    <t>SAM 8932524</t>
  </si>
  <si>
    <t>GB</t>
  </si>
  <si>
    <t>SL KY3888 HKD 20190905</t>
  </si>
  <si>
    <t>SAM 8932525</t>
  </si>
  <si>
    <t>SL NLCLB USD 20190809</t>
  </si>
  <si>
    <t>SAM 8931371</t>
  </si>
  <si>
    <t>US</t>
  </si>
  <si>
    <t>SL TIYKBNK TRY 20190823</t>
  </si>
  <si>
    <t>SAM 8931985</t>
  </si>
  <si>
    <t>TRY</t>
  </si>
  <si>
    <t>SL HK1211 HKD 20190916</t>
  </si>
  <si>
    <t>SAM 8933082</t>
  </si>
  <si>
    <t>SL NLHEIO EUR 20190913</t>
  </si>
  <si>
    <t>SAM 8933048</t>
  </si>
  <si>
    <t>SL JP9101 JPY 20190913</t>
  </si>
  <si>
    <t>SAM 8933049</t>
  </si>
  <si>
    <t>JPY</t>
  </si>
  <si>
    <t>SL CHSCMN CHF 20190913</t>
  </si>
  <si>
    <t>SAM 8933050</t>
  </si>
  <si>
    <t>SL BEUMI EUR 20190913</t>
  </si>
  <si>
    <t>SAM 8933051</t>
  </si>
  <si>
    <t>SL USS USD 20190918</t>
  </si>
  <si>
    <t>SAM 8933209</t>
  </si>
  <si>
    <t>SL HK3993 HKD 20190822</t>
  </si>
  <si>
    <t>SAM 8931941</t>
  </si>
  <si>
    <t>SL NLMT EUR 20190910</t>
  </si>
  <si>
    <t>SAM 8932785</t>
  </si>
  <si>
    <t>SL IEKSP EUR 20190910</t>
  </si>
  <si>
    <t>SAM 8932786</t>
  </si>
  <si>
    <t>SL BM1060 HKD 20190912</t>
  </si>
  <si>
    <t>SAM 8932956</t>
  </si>
  <si>
    <t>SL HK981 HKD 20190912</t>
  </si>
  <si>
    <t>SAM 8932957</t>
  </si>
  <si>
    <t>SL BEUMI EUR 20190912</t>
  </si>
  <si>
    <t>SAM 8932958</t>
  </si>
  <si>
    <t>SL JP8252 JPY 20190919</t>
  </si>
  <si>
    <t>SAM 8933286</t>
  </si>
  <si>
    <t>SL JP3092 JPY 20190919</t>
  </si>
  <si>
    <t>SAM 8933287</t>
  </si>
  <si>
    <t>SL NLMT EUR 20190830</t>
  </si>
  <si>
    <t>SAM 8932284</t>
  </si>
  <si>
    <t>SL AUTWE AUD 20190820</t>
  </si>
  <si>
    <t>SAM 8931844</t>
  </si>
  <si>
    <t>AUD</t>
  </si>
  <si>
    <t>SL NLHEIO EUR 20190911</t>
  </si>
  <si>
    <t>SAM 8932852</t>
  </si>
  <si>
    <t>SL AUSEK AUD 20190911</t>
  </si>
  <si>
    <t>SAM 8932853</t>
  </si>
  <si>
    <t>SL KY2018 HKD 20190806</t>
  </si>
  <si>
    <t>SAM 8931088</t>
  </si>
  <si>
    <t>SL HK2238 HKD 20190806</t>
  </si>
  <si>
    <t>SAM 8931089</t>
  </si>
  <si>
    <t>SL ESGAM EUR 20190805</t>
  </si>
  <si>
    <t>SAM 8931090</t>
  </si>
  <si>
    <t>SL USUBER USD 20190813</t>
  </si>
  <si>
    <t>SAM 8931514</t>
  </si>
  <si>
    <t>SL BESOLBT EUR 20190910</t>
  </si>
  <si>
    <t>SAM 8932787</t>
  </si>
  <si>
    <t>SL ATVOES EUR 20190910</t>
  </si>
  <si>
    <t>SAM 8932788</t>
  </si>
  <si>
    <t>SL HK151 HKD 20190910</t>
  </si>
  <si>
    <t>SAM 8932789</t>
  </si>
  <si>
    <t>SL USEXAS USD 20190919</t>
  </si>
  <si>
    <t>SAM 8933315</t>
  </si>
  <si>
    <t>SL MMALFAA MXN 20190808</t>
  </si>
  <si>
    <t>SAM 8931244</t>
  </si>
  <si>
    <t>MXN</t>
  </si>
  <si>
    <t>SL HK6886 HKD 20190815</t>
  </si>
  <si>
    <t>SAM 8931763</t>
  </si>
  <si>
    <t>SL HK1211 HKD 20190815</t>
  </si>
  <si>
    <t>SAM 8931647</t>
  </si>
  <si>
    <t>SL CN168 HKD 20190815</t>
  </si>
  <si>
    <t>SAM 8931649</t>
  </si>
  <si>
    <t>SL USFAST USD 20190805</t>
  </si>
  <si>
    <t>SAM 8931035</t>
  </si>
  <si>
    <t>SL USJWN USD 20190805</t>
  </si>
  <si>
    <t>SAM 8931036</t>
  </si>
  <si>
    <t>SL USXPO USD 20190805</t>
  </si>
  <si>
    <t>SAM 8931037</t>
  </si>
  <si>
    <t>SL NLHEIO EUR 20190829</t>
  </si>
  <si>
    <t>SAM 8932222</t>
  </si>
  <si>
    <t>SL USAMD USD 20190925</t>
  </si>
  <si>
    <t>SAM 8933583</t>
  </si>
  <si>
    <t>SL USSNAP USD 20190927</t>
  </si>
  <si>
    <t>SAM 8933721</t>
  </si>
  <si>
    <t>SL USWB USD 20190927</t>
  </si>
  <si>
    <t>SAM 8933722</t>
  </si>
  <si>
    <t>SL USEXAS USD 20190926</t>
  </si>
  <si>
    <t>SAM 8933662</t>
  </si>
  <si>
    <t>SL HK0144 HKD 20190924</t>
  </si>
  <si>
    <t>SAM 8933500</t>
  </si>
  <si>
    <t>SL GBWG/ GBP 20190924</t>
  </si>
  <si>
    <t>SAM 8933501</t>
  </si>
  <si>
    <t>SL 572 HKD 20190927</t>
  </si>
  <si>
    <t>SAM 8933695</t>
  </si>
  <si>
    <t>SL AUHVNR19 AUD 20190912</t>
  </si>
  <si>
    <t>SAM 8932638</t>
  </si>
  <si>
    <t>SL USAMD USD 20190924</t>
  </si>
  <si>
    <t>SAM 8933523</t>
  </si>
  <si>
    <t>SL MXIENOVA* MXN 20190925</t>
  </si>
  <si>
    <t>SAM 8933637</t>
  </si>
  <si>
    <t>SAM 8932639</t>
  </si>
  <si>
    <t>SAM 8932640</t>
  </si>
  <si>
    <t>SL ITTEN EUR 20190827</t>
  </si>
  <si>
    <t>SAM 8932093</t>
  </si>
  <si>
    <t>SL HK1810 HKD 20190827</t>
  </si>
  <si>
    <t>SAM 8932094</t>
  </si>
  <si>
    <t>SL JP7182 JPY 20190924</t>
  </si>
  <si>
    <t>SAM 8933569</t>
  </si>
  <si>
    <t>SAM 8933570</t>
  </si>
  <si>
    <t>SL HK981 HKD 20190925</t>
  </si>
  <si>
    <t>SAM 8933571</t>
  </si>
  <si>
    <t>SL HK1810 HKD 20190925</t>
  </si>
  <si>
    <t>SAM 8933572</t>
  </si>
  <si>
    <t>SL USFAST USD 20190927</t>
  </si>
  <si>
    <t>SAM 8933720</t>
  </si>
  <si>
    <t>SL HK0522 HKD 20190211</t>
  </si>
  <si>
    <t>SAM 8922200</t>
  </si>
  <si>
    <t>SL JP4612 JPY 20190211</t>
  </si>
  <si>
    <t>SAM 8922228</t>
  </si>
  <si>
    <t>SL HK493 HKD 20190211</t>
  </si>
  <si>
    <t>SAM 8922218</t>
  </si>
  <si>
    <t>SL AUHVN AUD 20190211</t>
  </si>
  <si>
    <t>SAM 8922221</t>
  </si>
  <si>
    <t>SL USBBBY USD 20190417</t>
  </si>
  <si>
    <t>SAM 8925965</t>
  </si>
  <si>
    <t>SL JP3938 JPY 20190507</t>
  </si>
  <si>
    <t>SAM 8926712</t>
  </si>
  <si>
    <t>SL MMPE&amp;OLES* MXN 20190424</t>
  </si>
  <si>
    <t>SAM 8926137</t>
  </si>
  <si>
    <t>SL DKDENERG DKK 20190412</t>
  </si>
  <si>
    <t>SAM 8925639</t>
  </si>
  <si>
    <t>SL HK347 HKD 20190416</t>
  </si>
  <si>
    <t>SAM 8925951</t>
  </si>
  <si>
    <t>SL USVNE USD 20190515</t>
  </si>
  <si>
    <t>SAM 8927225</t>
  </si>
  <si>
    <t>SL USMAT USD 20190516</t>
  </si>
  <si>
    <t>SAM 8927283</t>
  </si>
  <si>
    <t>SL FRWLN EUR 20190514</t>
  </si>
  <si>
    <t>SAM 8927156</t>
  </si>
  <si>
    <t>SL BH494 HKD 20190527</t>
  </si>
  <si>
    <t>SAM 8927653</t>
  </si>
  <si>
    <t>SL USTSLA USD 20190531</t>
  </si>
  <si>
    <t>SAM 8927893</t>
  </si>
  <si>
    <t>SL SJDSY ZAR 20190410</t>
  </si>
  <si>
    <t>SAM 8925498</t>
  </si>
  <si>
    <t>ZAR</t>
  </si>
  <si>
    <t>SL ZACPI ZAR 20190514</t>
  </si>
  <si>
    <t>SAM 8927184</t>
  </si>
  <si>
    <t>SL HK1193 HKD 20190516</t>
  </si>
  <si>
    <t>SAM 8927263</t>
  </si>
  <si>
    <t>SL USAMD USD 20190510</t>
  </si>
  <si>
    <t>SAM 8927021</t>
  </si>
  <si>
    <t>SAM 8927022</t>
  </si>
  <si>
    <t>SAM 8927023</t>
  </si>
  <si>
    <t>SAM 8927024</t>
  </si>
  <si>
    <t>SAM 8927025</t>
  </si>
  <si>
    <t>SL USMAT USD 20190524</t>
  </si>
  <si>
    <t>SAM 8927617</t>
  </si>
  <si>
    <t>SL CACRON CAD 20190605</t>
  </si>
  <si>
    <t>SAM 8928043</t>
  </si>
  <si>
    <t>CAD</t>
  </si>
  <si>
    <t>SL BM241 HKD 20190617</t>
  </si>
  <si>
    <t>SAM 8928377</t>
  </si>
  <si>
    <t>SL USBBBY USD 20190530</t>
  </si>
  <si>
    <t>SAM 8927818</t>
  </si>
  <si>
    <t>SL CACRON CAD 20190510</t>
  </si>
  <si>
    <t>SAM 8927007</t>
  </si>
  <si>
    <t>SAM 8927020</t>
  </si>
  <si>
    <t>SL CN6056401 HKD 20190626</t>
  </si>
  <si>
    <t>SAM 8928856</t>
  </si>
  <si>
    <t>SL USMCHP USD 20190624</t>
  </si>
  <si>
    <t>SAM 8928734</t>
  </si>
  <si>
    <t>SL KYATHM USD 20190607</t>
  </si>
  <si>
    <t>SAM 8928135</t>
  </si>
  <si>
    <t>SL HK1810 HKD 20190621</t>
  </si>
  <si>
    <t>SAM 8928605</t>
  </si>
  <si>
    <t>SL 572 HKD 20190703</t>
  </si>
  <si>
    <t>SAM 8929282</t>
  </si>
  <si>
    <t>SL NLHEIO EUR 20190708</t>
  </si>
  <si>
    <t>SAM 8929482</t>
  </si>
  <si>
    <t>SL USBBBY USD 20190710</t>
  </si>
  <si>
    <t>SAM 8929667</t>
  </si>
  <si>
    <t>SL USFAST USD 20190710</t>
  </si>
  <si>
    <t>SAM 8929668</t>
  </si>
  <si>
    <t>SL HK347 HKD 20190627</t>
  </si>
  <si>
    <t>SAM 8928957</t>
  </si>
  <si>
    <t>SL USIQ USD 20190716</t>
  </si>
  <si>
    <t>SAM 8929983</t>
  </si>
  <si>
    <t>SL USNIO USD 20190716</t>
  </si>
  <si>
    <t>SAM 8929984</t>
  </si>
  <si>
    <t>SL USZI USD 20190716</t>
  </si>
  <si>
    <t>SAM 8929985</t>
  </si>
  <si>
    <t>SL HK3333 HKD 20190705</t>
  </si>
  <si>
    <t>SAM 8929409</t>
  </si>
  <si>
    <t>SL HK1211 HKD 20190628</t>
  </si>
  <si>
    <t>SAM 8929032</t>
  </si>
  <si>
    <t>SL USZI USD 20190717</t>
  </si>
  <si>
    <t>SAM 8930052</t>
  </si>
  <si>
    <t>SL NLHEIN EUR 20190628</t>
  </si>
  <si>
    <t>SAM 8929035</t>
  </si>
  <si>
    <t>SL USMCHP USD 20190709</t>
  </si>
  <si>
    <t>SAM 8929573</t>
  </si>
  <si>
    <t>SL USIQ USD 20190627</t>
  </si>
  <si>
    <t>SAM 8928974</t>
  </si>
  <si>
    <t>SL USUBER USD 20190715</t>
  </si>
  <si>
    <t>SAM 8929837</t>
  </si>
  <si>
    <t>SL BESOLBT EUR 20190729</t>
  </si>
  <si>
    <t>SAM 8930628</t>
  </si>
  <si>
    <t>SL USJWN USD 20190731</t>
  </si>
  <si>
    <t>SAM 8930789</t>
  </si>
  <si>
    <t>SL ATVOES EUR 20190726</t>
  </si>
  <si>
    <t>SAM 8930564</t>
  </si>
  <si>
    <t>SL BEINTB EUR 20190716</t>
  </si>
  <si>
    <t>SAM 8929949</t>
  </si>
  <si>
    <t>SL HK981 HKD 20190903</t>
  </si>
  <si>
    <t>SAM 8932382</t>
  </si>
  <si>
    <t>SL USAMCR USD 20190819</t>
  </si>
  <si>
    <t>SAM 8931807</t>
  </si>
  <si>
    <t>SL PWPEO PLN 20190828</t>
  </si>
  <si>
    <t>SAM 8932155</t>
  </si>
  <si>
    <t>PLN</t>
  </si>
  <si>
    <t>SL BH494 HKD 20190906</t>
  </si>
  <si>
    <t>SAM 8932589</t>
  </si>
  <si>
    <t>SL HK1208 HKD 20190906</t>
  </si>
  <si>
    <t>SAM 8932590</t>
  </si>
  <si>
    <t>SL JP8303 JPY 20190905</t>
  </si>
  <si>
    <t>SAM 8932591</t>
  </si>
  <si>
    <t>SL AUTAH AUD 20190821</t>
  </si>
  <si>
    <t>SAM 8931883</t>
  </si>
  <si>
    <t>SL HK2238 HKD 20190906</t>
  </si>
  <si>
    <t>SAM 8932588</t>
  </si>
  <si>
    <t>SL BEINTB EUR 20190823</t>
  </si>
  <si>
    <t>SAM 8931983</t>
  </si>
  <si>
    <t>SL CHSCMN CHF 20190823</t>
  </si>
  <si>
    <t>SAM 8931984</t>
  </si>
  <si>
    <t>SL HK1211 HKD 20190904</t>
  </si>
  <si>
    <t>SAM 8932452</t>
  </si>
  <si>
    <t>SL CACRON CAD 20190903</t>
  </si>
  <si>
    <t>SAM 8932453</t>
  </si>
  <si>
    <t>SL HK3333 HKD 20190809</t>
  </si>
  <si>
    <t>SAM 8931353</t>
  </si>
  <si>
    <t>SL USSPB USD 20180403</t>
  </si>
  <si>
    <t>SAM 8906881</t>
  </si>
  <si>
    <t>SL DKCHR DKK 20180413</t>
  </si>
  <si>
    <t>SAM 8907591</t>
  </si>
  <si>
    <t>SL CHSCMN CHF 20180420</t>
  </si>
  <si>
    <t>SAM 8907931</t>
  </si>
  <si>
    <t>SL ORK NOK 20180531</t>
  </si>
  <si>
    <t>SAM 8910221</t>
  </si>
  <si>
    <t>NOK</t>
  </si>
  <si>
    <t>SL NLCCE EUR 20180517</t>
  </si>
  <si>
    <t>SAM 8909339</t>
  </si>
  <si>
    <t>SL DKDENERG DKK 20180525</t>
  </si>
  <si>
    <t>SAM 8909942</t>
  </si>
  <si>
    <t>SL USHDI USD 20180530</t>
  </si>
  <si>
    <t>SAM 8910157</t>
  </si>
  <si>
    <t>SL USALV USD 20180423</t>
  </si>
  <si>
    <t>SAM 8908049</t>
  </si>
  <si>
    <t>SL USSPB USD 20180423</t>
  </si>
  <si>
    <t>SAM 8908054</t>
  </si>
  <si>
    <t>SL BM1169 HKD 20180801</t>
  </si>
  <si>
    <t>SAM 8913197</t>
  </si>
  <si>
    <t>SL FRCARR EUR 20180727</t>
  </si>
  <si>
    <t>SAM 8913042</t>
  </si>
  <si>
    <t>SL US SPB USD 20180716</t>
  </si>
  <si>
    <t>SAM 8912552</t>
  </si>
  <si>
    <t>SL AUTAH AUD 20180814</t>
  </si>
  <si>
    <t>SAM 8913808</t>
  </si>
  <si>
    <t>SAM 8912454</t>
  </si>
  <si>
    <t>SL HK1918 HKD 20180705</t>
  </si>
  <si>
    <t>SAM 8912003</t>
  </si>
  <si>
    <t>SL HK347 HKD 20180817</t>
  </si>
  <si>
    <t>SAM 8913974</t>
  </si>
  <si>
    <t>SL USWB USD 20180709</t>
  </si>
  <si>
    <t>SAM 8912096</t>
  </si>
  <si>
    <t>SL MXFUNO11 MXN 20180710</t>
  </si>
  <si>
    <t>SAM 8912132</t>
  </si>
  <si>
    <t>SL USWFT USD 20181003</t>
  </si>
  <si>
    <t>SAM 8915886</t>
  </si>
  <si>
    <t>SL USPDCO USD 20180820</t>
  </si>
  <si>
    <t>SAM 8914040</t>
  </si>
  <si>
    <t>SL BM384 HKD 20181029</t>
  </si>
  <si>
    <t>SAM 8916917</t>
  </si>
  <si>
    <t>SL HK1997 HKD 20181029</t>
  </si>
  <si>
    <t>SAM 8916920</t>
  </si>
  <si>
    <t>SL BEUMI EUR 20181004</t>
  </si>
  <si>
    <t>SAM 8915914</t>
  </si>
  <si>
    <t>SL JP8358 JPY 20181010</t>
  </si>
  <si>
    <t>SAM 8916303</t>
  </si>
  <si>
    <t>SL NLATC EUR 20180926</t>
  </si>
  <si>
    <t>SAM 8915634</t>
  </si>
  <si>
    <t>SL DKISSN DKK 20190110</t>
  </si>
  <si>
    <t>SAM 8919657</t>
  </si>
  <si>
    <t>SL HK1918 HKD 20181119</t>
  </si>
  <si>
    <t>SAM 8917919</t>
  </si>
  <si>
    <t>SL PWPEO PLN 20190107</t>
  </si>
  <si>
    <t>SAM 8919479</t>
  </si>
  <si>
    <t>SL ATVOES EUR 20181219</t>
  </si>
  <si>
    <t>SAM 8919099</t>
  </si>
  <si>
    <t>SAM 8922217</t>
  </si>
  <si>
    <t>SAM 8922219</t>
  </si>
  <si>
    <t>SAM 8922220</t>
  </si>
  <si>
    <t>SAM 8922222</t>
  </si>
  <si>
    <t>SL GBAAL GBP 20190125</t>
  </si>
  <si>
    <t>SAM 8920457</t>
  </si>
  <si>
    <t>SL CN6030 HKD 20190211</t>
  </si>
  <si>
    <t>SAM 8922209</t>
  </si>
  <si>
    <t>SL ITPRY EUR 20190215</t>
  </si>
  <si>
    <t>SAM 8922870</t>
  </si>
  <si>
    <t>SL BM1060 HKD 20190211</t>
  </si>
  <si>
    <t>SAM 8922197</t>
  </si>
  <si>
    <t>SAM 8922198</t>
  </si>
  <si>
    <t>SAM 8922199</t>
  </si>
  <si>
    <t>SL AUTAH AUD 20190218</t>
  </si>
  <si>
    <t>SAM 8922933</t>
  </si>
  <si>
    <t>SL JP6753 JPY 20190227</t>
  </si>
  <si>
    <t>SAM 8923353</t>
  </si>
  <si>
    <t>SL USATUS USD 20190304</t>
  </si>
  <si>
    <t>SAM 8923505</t>
  </si>
  <si>
    <t>SL USMCHP USD 20181029</t>
  </si>
  <si>
    <t>SAM 8916942</t>
  </si>
  <si>
    <t>SL DKISSN DKK 20180730</t>
  </si>
  <si>
    <t>SAM 8913044</t>
  </si>
  <si>
    <t>SL ITTEN EUR 20180716</t>
  </si>
  <si>
    <t>SAM 8912409</t>
  </si>
  <si>
    <t>SAM 8912455</t>
  </si>
  <si>
    <t>SL BM1169 HKD 20180419</t>
  </si>
  <si>
    <t>SAM 8907865</t>
  </si>
  <si>
    <t>SL BEUMI EUR 20180921</t>
  </si>
  <si>
    <t>SAM 8915468</t>
  </si>
  <si>
    <t>SAM 8912551</t>
  </si>
  <si>
    <t>SL AUHVN AUD 20190314</t>
  </si>
  <si>
    <t>SAM 8924067</t>
  </si>
  <si>
    <t>SL ESGAM EUR 20190318</t>
  </si>
  <si>
    <t>SAM 8924205</t>
  </si>
  <si>
    <t>SL CHSCMN CHF 20190327</t>
  </si>
  <si>
    <t>SAM 8924713</t>
  </si>
  <si>
    <t>SL HK347 HKD 20190326</t>
  </si>
  <si>
    <t>SAM 8924639</t>
  </si>
  <si>
    <t>SL FIMEO1V EUR 20181029</t>
  </si>
  <si>
    <t>SAM 8916918</t>
  </si>
  <si>
    <t>SL USMCHP USD 20181022</t>
  </si>
  <si>
    <t>SAM 8916658</t>
  </si>
  <si>
    <t>SAM 8917920</t>
  </si>
  <si>
    <t>SL USXPO USD 20190409</t>
  </si>
  <si>
    <t>SAM 8925432</t>
  </si>
  <si>
    <t>SL USHRL USD 20190329</t>
  </si>
  <si>
    <t>SAM 8924865</t>
  </si>
  <si>
    <t>SL USTRIP USD 20190329</t>
  </si>
  <si>
    <t>SAM 8924866</t>
  </si>
  <si>
    <t>SL USWAB USD 20190329</t>
  </si>
  <si>
    <t>SAM 8924867</t>
  </si>
  <si>
    <t>SL FRERF EUR 20190408</t>
  </si>
  <si>
    <t>SAM 8925338</t>
  </si>
  <si>
    <t>SAM 8925339</t>
  </si>
  <si>
    <t>SAM 8925340</t>
  </si>
  <si>
    <t>SAM 8922196</t>
  </si>
  <si>
    <t>Harvey Norman(Right, Sh,09/2019)</t>
  </si>
  <si>
    <t>SAM 920823</t>
  </si>
  <si>
    <t>Consumer Discretionary</t>
  </si>
  <si>
    <t>Australia</t>
  </si>
  <si>
    <t>AU</t>
  </si>
  <si>
    <t>Right</t>
  </si>
  <si>
    <t>B2W Cia Digital (Right Shs,08/2019)</t>
  </si>
  <si>
    <t>SAM 966461</t>
  </si>
  <si>
    <t>Brazil</t>
  </si>
  <si>
    <t>BR</t>
  </si>
  <si>
    <t>BRL</t>
  </si>
  <si>
    <t>Shanghai Commercial &amp; Savings Bank(Rights 08/2019)</t>
  </si>
  <si>
    <t>SAM 1000851</t>
  </si>
  <si>
    <t>Financials</t>
  </si>
  <si>
    <t>Taiwan, Province of China</t>
  </si>
  <si>
    <t>TW</t>
  </si>
  <si>
    <t>TWD</t>
  </si>
  <si>
    <t>Microsoft</t>
  </si>
  <si>
    <t>SAM 55240</t>
  </si>
  <si>
    <t>Information Technology</t>
  </si>
  <si>
    <t>United States</t>
  </si>
  <si>
    <t>Equity</t>
  </si>
  <si>
    <t>Apple Inc</t>
  </si>
  <si>
    <t>SAM 54820</t>
  </si>
  <si>
    <t>Amazon Com</t>
  </si>
  <si>
    <t>SAM 91325</t>
  </si>
  <si>
    <t>Facebook Inc.</t>
  </si>
  <si>
    <t>SAM 97782</t>
  </si>
  <si>
    <t>Communication Services</t>
  </si>
  <si>
    <t>Alphabet Inc Class C</t>
  </si>
  <si>
    <t>SAM 98426</t>
  </si>
  <si>
    <t>J.P Morgan Chase and Co</t>
  </si>
  <si>
    <t>SAM 62080</t>
  </si>
  <si>
    <t>Nestle</t>
  </si>
  <si>
    <t>SAM 50600</t>
  </si>
  <si>
    <t>Consumer Staples</t>
  </si>
  <si>
    <t>Switzerland</t>
  </si>
  <si>
    <t>Procter &amp; Gamble</t>
  </si>
  <si>
    <t>SAM 54240</t>
  </si>
  <si>
    <t>Alphabet Inc Class A</t>
  </si>
  <si>
    <t>SAM 93490</t>
  </si>
  <si>
    <t>Exxon Mobil</t>
  </si>
  <si>
    <t>SAM 61470</t>
  </si>
  <si>
    <t>Energy</t>
  </si>
  <si>
    <t>Visa Inc - Class A shares</t>
  </si>
  <si>
    <t>SAM 94980</t>
  </si>
  <si>
    <t>Berkshire Hathaway B</t>
  </si>
  <si>
    <t>SAM 94997</t>
  </si>
  <si>
    <t>AT&amp;T Inc</t>
  </si>
  <si>
    <t>SAM 61530</t>
  </si>
  <si>
    <t>Home Depot</t>
  </si>
  <si>
    <t>SAM 61770</t>
  </si>
  <si>
    <t>Bank of America Corp</t>
  </si>
  <si>
    <t>SAM 53910</t>
  </si>
  <si>
    <t>Mastercard Inc</t>
  </si>
  <si>
    <t>SAM 94603</t>
  </si>
  <si>
    <t>Roche Holding Genuss</t>
  </si>
  <si>
    <t>SAM 53850</t>
  </si>
  <si>
    <t>Health Care</t>
  </si>
  <si>
    <t>Verizon Communications</t>
  </si>
  <si>
    <t>SAM 64170</t>
  </si>
  <si>
    <t>Chevron Corp</t>
  </si>
  <si>
    <t>SAM 60790</t>
  </si>
  <si>
    <t>Walt Disney</t>
  </si>
  <si>
    <t>SAM 56350</t>
  </si>
  <si>
    <t>Intel</t>
  </si>
  <si>
    <t>SAM 50440</t>
  </si>
  <si>
    <t>Tencent Holdings Ltd</t>
  </si>
  <si>
    <t>SAM 96155</t>
  </si>
  <si>
    <t>Cayman Islands</t>
  </si>
  <si>
    <t>KY</t>
  </si>
  <si>
    <t>Alibaba Group Holding Ltd</t>
  </si>
  <si>
    <t>SAM 98932</t>
  </si>
  <si>
    <t>Coca-Cola</t>
  </si>
  <si>
    <t>SAM 52550</t>
  </si>
  <si>
    <t>Merck &amp; Co</t>
  </si>
  <si>
    <t>SAM 59940</t>
  </si>
  <si>
    <t>Comcast Corp A</t>
  </si>
  <si>
    <t>SAM 92360</t>
  </si>
  <si>
    <t>Cisco Systems</t>
  </si>
  <si>
    <t>SAM 51890</t>
  </si>
  <si>
    <t>Wells Fargo</t>
  </si>
  <si>
    <t>SAM 59450</t>
  </si>
  <si>
    <t>Pepsico Inc</t>
  </si>
  <si>
    <t>SAM 54140</t>
  </si>
  <si>
    <t>Pfizer</t>
  </si>
  <si>
    <t>SAM 50700</t>
  </si>
  <si>
    <t>United Health Group</t>
  </si>
  <si>
    <t>SAM 64520</t>
  </si>
  <si>
    <t>Taiwan Semiconductor</t>
  </si>
  <si>
    <t>SAM 92143</t>
  </si>
  <si>
    <t>McDonald's Corp</t>
  </si>
  <si>
    <t>SAM 59020</t>
  </si>
  <si>
    <t>Citigroup</t>
  </si>
  <si>
    <t>SAM 51840</t>
  </si>
  <si>
    <t>Costco Wholesale</t>
  </si>
  <si>
    <t>SAM 65440</t>
  </si>
  <si>
    <t>HSBC Holdings (GBP)</t>
  </si>
  <si>
    <t>SAM 53870</t>
  </si>
  <si>
    <t>United Kingdom</t>
  </si>
  <si>
    <t>Toyota Motor</t>
  </si>
  <si>
    <t>SAM 54390</t>
  </si>
  <si>
    <t>Japan</t>
  </si>
  <si>
    <t>JP</t>
  </si>
  <si>
    <t>Nextera Energy Inc</t>
  </si>
  <si>
    <t>SAM 61890</t>
  </si>
  <si>
    <t>Utilities</t>
  </si>
  <si>
    <t>Medtronic PLC</t>
  </si>
  <si>
    <t>SAM 91329</t>
  </si>
  <si>
    <t>Ireland</t>
  </si>
  <si>
    <t>IE</t>
  </si>
  <si>
    <t>BP Plc</t>
  </si>
  <si>
    <t>SAM 62460</t>
  </si>
  <si>
    <t>Abbott Laboratories</t>
  </si>
  <si>
    <t>SAM 61920</t>
  </si>
  <si>
    <t>Oracle Corporation</t>
  </si>
  <si>
    <t>SAM 62050</t>
  </si>
  <si>
    <t>Accenture PLC</t>
  </si>
  <si>
    <t>SAM 92032</t>
  </si>
  <si>
    <t>Amgen</t>
  </si>
  <si>
    <t>SAM 91323</t>
  </si>
  <si>
    <t>International Business Machines Corp</t>
  </si>
  <si>
    <t>SAM 51160</t>
  </si>
  <si>
    <t>NIKE Inc - B</t>
  </si>
  <si>
    <t>SAM 61870</t>
  </si>
  <si>
    <t>Royal Bank of Canada</t>
  </si>
  <si>
    <t>SAM 56990</t>
  </si>
  <si>
    <t>Canada</t>
  </si>
  <si>
    <t>CA</t>
  </si>
  <si>
    <t>Royal Dutch Shell A (GBP)</t>
  </si>
  <si>
    <t>SAM 93782</t>
  </si>
  <si>
    <t>Total SA</t>
  </si>
  <si>
    <t>SAM 52460</t>
  </si>
  <si>
    <t>France</t>
  </si>
  <si>
    <t>FR</t>
  </si>
  <si>
    <t>Adobe Inc</t>
  </si>
  <si>
    <t>SAM 91736</t>
  </si>
  <si>
    <t>Diageo</t>
  </si>
  <si>
    <t>SAM 64060</t>
  </si>
  <si>
    <t>GlaxoSmithkline</t>
  </si>
  <si>
    <t>SAM 91905</t>
  </si>
  <si>
    <t>Astrazeneca (GBP)</t>
  </si>
  <si>
    <t>SAM 62100</t>
  </si>
  <si>
    <t>Sanofi</t>
  </si>
  <si>
    <t>SAM 91223</t>
  </si>
  <si>
    <t>Union Pacific Corp</t>
  </si>
  <si>
    <t>SAM 64560</t>
  </si>
  <si>
    <t>Industrials</t>
  </si>
  <si>
    <t>Royal Dutch Shell B (GBP)</t>
  </si>
  <si>
    <t>SAM 59800</t>
  </si>
  <si>
    <t>Abbvie</t>
  </si>
  <si>
    <t>SAM 97994</t>
  </si>
  <si>
    <t>Sap SE</t>
  </si>
  <si>
    <t>SAM 60680</t>
  </si>
  <si>
    <t>Germany</t>
  </si>
  <si>
    <t>DE</t>
  </si>
  <si>
    <t>Linde PLC</t>
  </si>
  <si>
    <t>SAM 99956</t>
  </si>
  <si>
    <t>Materials</t>
  </si>
  <si>
    <t>Allianz SE</t>
  </si>
  <si>
    <t>SAM 91157</t>
  </si>
  <si>
    <t>Thermo Fisher Scientific Inc</t>
  </si>
  <si>
    <t>SAM 92599</t>
  </si>
  <si>
    <t>AIA Group Ltd</t>
  </si>
  <si>
    <t>SAM 97408</t>
  </si>
  <si>
    <t>Hong Kong</t>
  </si>
  <si>
    <t>HK</t>
  </si>
  <si>
    <t>LVMH Moet Hennessy Louis Vuitton SE</t>
  </si>
  <si>
    <t>SAM 52390</t>
  </si>
  <si>
    <t>Texas Instruments</t>
  </si>
  <si>
    <t>SAM 59210</t>
  </si>
  <si>
    <t>Salesforce.Com  Inc</t>
  </si>
  <si>
    <t>SAM 92896</t>
  </si>
  <si>
    <t>PAYPAL HOLDINGS INC</t>
  </si>
  <si>
    <t>SAM 98854</t>
  </si>
  <si>
    <t>Netflix Inc</t>
  </si>
  <si>
    <t>SAM 97310</t>
  </si>
  <si>
    <t>American Tower Corp (REIT)</t>
  </si>
  <si>
    <t>SAM 93694</t>
  </si>
  <si>
    <t>Real Estate</t>
  </si>
  <si>
    <t>Novo-Nordisk B</t>
  </si>
  <si>
    <t>SAM 98387</t>
  </si>
  <si>
    <t>Denmark</t>
  </si>
  <si>
    <t>DK</t>
  </si>
  <si>
    <t>Eli Lilly &amp; Co</t>
  </si>
  <si>
    <t>SAM 61950</t>
  </si>
  <si>
    <t>Dominion Energy INC</t>
  </si>
  <si>
    <t>SAM 64230</t>
  </si>
  <si>
    <t>Unilever NV</t>
  </si>
  <si>
    <t>SAM 100286</t>
  </si>
  <si>
    <t>Netherlands</t>
  </si>
  <si>
    <t>NL</t>
  </si>
  <si>
    <t>Toronto - Dominion Bank (CAD)</t>
  </si>
  <si>
    <t>SAM 95146</t>
  </si>
  <si>
    <t>Starbucks Corp</t>
  </si>
  <si>
    <t>SAM 92392</t>
  </si>
  <si>
    <t>Danaher Corp</t>
  </si>
  <si>
    <t>SAM 92762</t>
  </si>
  <si>
    <t>Broadcom Inc</t>
  </si>
  <si>
    <t>SAM 99686</t>
  </si>
  <si>
    <t>ASML Holding NV</t>
  </si>
  <si>
    <t>SAM 97974</t>
  </si>
  <si>
    <t>United Parcel Services</t>
  </si>
  <si>
    <t>SAM 91440</t>
  </si>
  <si>
    <t>3M CO</t>
  </si>
  <si>
    <t>SAM 64370</t>
  </si>
  <si>
    <t>Commonwealth Bank of Australia</t>
  </si>
  <si>
    <t>SAM 91780</t>
  </si>
  <si>
    <t>NVIDIA</t>
  </si>
  <si>
    <t>SAM 93386</t>
  </si>
  <si>
    <t>Stryker Corp</t>
  </si>
  <si>
    <t>SAM 92776</t>
  </si>
  <si>
    <t>Siemens</t>
  </si>
  <si>
    <t>SAM 50800</t>
  </si>
  <si>
    <t>Qualcomm</t>
  </si>
  <si>
    <t>SAM 91272</t>
  </si>
  <si>
    <t>American Express</t>
  </si>
  <si>
    <t>SAM 52540</t>
  </si>
  <si>
    <t>Gilead Sciences Inc</t>
  </si>
  <si>
    <t>SAM 92779</t>
  </si>
  <si>
    <t>Unilever GB</t>
  </si>
  <si>
    <t>SAM 53460</t>
  </si>
  <si>
    <t>Caterpillar</t>
  </si>
  <si>
    <t>SAM 64220</t>
  </si>
  <si>
    <t>General Electric Co</t>
  </si>
  <si>
    <t>SAM 59950</t>
  </si>
  <si>
    <t>Exelon</t>
  </si>
  <si>
    <t>SAM 65580</t>
  </si>
  <si>
    <t>Fidelity National Informatio</t>
  </si>
  <si>
    <t>SAM 93255</t>
  </si>
  <si>
    <t>Mondelez International Inc</t>
  </si>
  <si>
    <t>SAM 97960</t>
  </si>
  <si>
    <t>Bristol-Myers Squibb</t>
  </si>
  <si>
    <t>SAM 59200</t>
  </si>
  <si>
    <t>Anheuser-Busch Inbev</t>
  </si>
  <si>
    <t>SAM 92146</t>
  </si>
  <si>
    <t>Belgium</t>
  </si>
  <si>
    <t>BE</t>
  </si>
  <si>
    <t>Canadian National Railway</t>
  </si>
  <si>
    <t>SAM 92290</t>
  </si>
  <si>
    <t>US Bancorp</t>
  </si>
  <si>
    <t>SAM 91523</t>
  </si>
  <si>
    <t>Booking Holdings Inc</t>
  </si>
  <si>
    <t>SAM 91311</t>
  </si>
  <si>
    <t>Chubb Ltd</t>
  </si>
  <si>
    <t>SAM 92577</t>
  </si>
  <si>
    <t>Transdigm Group</t>
  </si>
  <si>
    <t>SAM 94083</t>
  </si>
  <si>
    <t>Lowe's Cos Inc</t>
  </si>
  <si>
    <t>SAM 92019</t>
  </si>
  <si>
    <t>CVS Health</t>
  </si>
  <si>
    <t>SAM 64640</t>
  </si>
  <si>
    <t>Consolidated Edison</t>
  </si>
  <si>
    <t>SAM 67230</t>
  </si>
  <si>
    <t>CME Group Inc/IL</t>
  </si>
  <si>
    <t>SAM 93686</t>
  </si>
  <si>
    <t>Colgate Palmolive</t>
  </si>
  <si>
    <t>SAM 55221</t>
  </si>
  <si>
    <t>Zurich Financial Services AG</t>
  </si>
  <si>
    <t>SAM 91850</t>
  </si>
  <si>
    <t>Intuit</t>
  </si>
  <si>
    <t>SAM 92056</t>
  </si>
  <si>
    <t>Bank of Nova Scotia</t>
  </si>
  <si>
    <t>SAM 91982</t>
  </si>
  <si>
    <t>Anthem Inc</t>
  </si>
  <si>
    <t>SAM 92393</t>
  </si>
  <si>
    <t>China Construction Bank - H</t>
  </si>
  <si>
    <t>SAM 95700</t>
  </si>
  <si>
    <t>China</t>
  </si>
  <si>
    <t>CN</t>
  </si>
  <si>
    <t>L'Oreal SA</t>
  </si>
  <si>
    <t>SAM 53790</t>
  </si>
  <si>
    <t>Target Corporation</t>
  </si>
  <si>
    <t>SAM 64720</t>
  </si>
  <si>
    <t>Waste Mangement</t>
  </si>
  <si>
    <t>SAM 64100</t>
  </si>
  <si>
    <t>Vodafone Group</t>
  </si>
  <si>
    <t>SAM 58380</t>
  </si>
  <si>
    <t>Automatic Data Processing</t>
  </si>
  <si>
    <t>SAM 59440</t>
  </si>
  <si>
    <t>TJX Cos Inc/The</t>
  </si>
  <si>
    <t>SAM 92381</t>
  </si>
  <si>
    <t>Illinois Tool Works</t>
  </si>
  <si>
    <t>SAM 64530</t>
  </si>
  <si>
    <t>Air Products &amp; Chemicals</t>
  </si>
  <si>
    <t>SAM 64740</t>
  </si>
  <si>
    <t>Sony Corp</t>
  </si>
  <si>
    <t>SAM 56180</t>
  </si>
  <si>
    <t>Ecolab</t>
  </si>
  <si>
    <t>SAM 93214</t>
  </si>
  <si>
    <t>Becton Dickinson &amp; Co</t>
  </si>
  <si>
    <t>SAM 67220</t>
  </si>
  <si>
    <t>CSL Ltd</t>
  </si>
  <si>
    <t>SAM 91733</t>
  </si>
  <si>
    <t>Goldman Sachs</t>
  </si>
  <si>
    <t>SAM 91209</t>
  </si>
  <si>
    <t>Mitsubishi UFJ Holdings Group</t>
  </si>
  <si>
    <t>SAM 91949</t>
  </si>
  <si>
    <t>BASF SE</t>
  </si>
  <si>
    <t>SAM 53780</t>
  </si>
  <si>
    <t>Celgene Corp</t>
  </si>
  <si>
    <t>SAM 93688</t>
  </si>
  <si>
    <t>Ping An Insurance Group</t>
  </si>
  <si>
    <t>SAM 95920</t>
  </si>
  <si>
    <t>Westpac Banking Corp</t>
  </si>
  <si>
    <t>SAM 55330</t>
  </si>
  <si>
    <t>Sempra Energy</t>
  </si>
  <si>
    <t>SAM 93058</t>
  </si>
  <si>
    <t>Charter Communications, Inc. - A</t>
  </si>
  <si>
    <t>SAM 99055</t>
  </si>
  <si>
    <t>Marsh &amp; Mclennan Cos</t>
  </si>
  <si>
    <t>SAM 62190</t>
  </si>
  <si>
    <t>BNP Paribas</t>
  </si>
  <si>
    <t>SAM 91190</t>
  </si>
  <si>
    <t>Eversource Energy</t>
  </si>
  <si>
    <t>SAM 93865</t>
  </si>
  <si>
    <t>Intuitive Surgical</t>
  </si>
  <si>
    <t>SAM 94799</t>
  </si>
  <si>
    <t>ZOETIS INC</t>
  </si>
  <si>
    <t>SAM 98234</t>
  </si>
  <si>
    <t>Fiserv</t>
  </si>
  <si>
    <t>SAM 93491</t>
  </si>
  <si>
    <t>Kimberly-Clark</t>
  </si>
  <si>
    <t>SAM 61840</t>
  </si>
  <si>
    <t>Deutsche Telecom</t>
  </si>
  <si>
    <t>SAM 61420</t>
  </si>
  <si>
    <t>Prologis Inc (REIT)</t>
  </si>
  <si>
    <t>SAM 94240</t>
  </si>
  <si>
    <t>Naspers Ltd-N</t>
  </si>
  <si>
    <t>SAM 97201</t>
  </si>
  <si>
    <t>South Africa</t>
  </si>
  <si>
    <t>ZA</t>
  </si>
  <si>
    <t>Public Service Enterprise Gp</t>
  </si>
  <si>
    <t>SAM 61180</t>
  </si>
  <si>
    <t>Iberdrola</t>
  </si>
  <si>
    <t>SAM 50420</t>
  </si>
  <si>
    <t>Spain</t>
  </si>
  <si>
    <t>ES</t>
  </si>
  <si>
    <t>Conocophilips</t>
  </si>
  <si>
    <t>SAM 63550</t>
  </si>
  <si>
    <t>Blackrock</t>
  </si>
  <si>
    <t>SAM 95393</t>
  </si>
  <si>
    <t>Pembina Pipeline Corp</t>
  </si>
  <si>
    <t>SAM 97755</t>
  </si>
  <si>
    <t>Reckitt Benckiser</t>
  </si>
  <si>
    <t>SAM 92138</t>
  </si>
  <si>
    <t>Keyence</t>
  </si>
  <si>
    <t>SAM 91601</t>
  </si>
  <si>
    <t>Deere &amp; Co</t>
  </si>
  <si>
    <t>SAM 64610</t>
  </si>
  <si>
    <t>SK Hynix Inc</t>
  </si>
  <si>
    <t>SAM 96397</t>
  </si>
  <si>
    <t>Korea, Republic of</t>
  </si>
  <si>
    <t>KR</t>
  </si>
  <si>
    <t>KRW</t>
  </si>
  <si>
    <t>Vinci</t>
  </si>
  <si>
    <t>SAM 92348</t>
  </si>
  <si>
    <t>PNC Financial Services</t>
  </si>
  <si>
    <t>SAM 91751</t>
  </si>
  <si>
    <t>S&amp;P Global Inc</t>
  </si>
  <si>
    <t>SAM 64690</t>
  </si>
  <si>
    <t>National Australian Bank</t>
  </si>
  <si>
    <t>SAM 56720</t>
  </si>
  <si>
    <t>Industrial and Commercial Bank of China</t>
  </si>
  <si>
    <t>SAM 95895</t>
  </si>
  <si>
    <t>Daimler</t>
  </si>
  <si>
    <t>SAM 91047</t>
  </si>
  <si>
    <t>Spirit Aerosystems</t>
  </si>
  <si>
    <t>SAM 94399</t>
  </si>
  <si>
    <t>Aust &amp; Nz Bank Group</t>
  </si>
  <si>
    <t>SAM 92020</t>
  </si>
  <si>
    <t>Softbank Group Corp</t>
  </si>
  <si>
    <t>SAM 6770620</t>
  </si>
  <si>
    <t>Morgan Stanley</t>
  </si>
  <si>
    <t>SAM 918040</t>
  </si>
  <si>
    <t>Schneider Electric</t>
  </si>
  <si>
    <t>SAM 55600</t>
  </si>
  <si>
    <t>CP ALL PCL (foreign shs)</t>
  </si>
  <si>
    <t>SAM 97418</t>
  </si>
  <si>
    <t>Thailand</t>
  </si>
  <si>
    <t>TH</t>
  </si>
  <si>
    <t>THB</t>
  </si>
  <si>
    <t>ENI S.p.A.</t>
  </si>
  <si>
    <t>SAM 61400</t>
  </si>
  <si>
    <t>Italy</t>
  </si>
  <si>
    <t>IT</t>
  </si>
  <si>
    <t>Banco Santander</t>
  </si>
  <si>
    <t>SAM 91182</t>
  </si>
  <si>
    <t>Kinder Morgan</t>
  </si>
  <si>
    <t>SAM 93144</t>
  </si>
  <si>
    <t>Crown Castle International Corp (REIT)</t>
  </si>
  <si>
    <t>SAM 93678</t>
  </si>
  <si>
    <t>Entergy</t>
  </si>
  <si>
    <t>SAM 64920</t>
  </si>
  <si>
    <t>Bank of Montreal</t>
  </si>
  <si>
    <t>SAM 91981</t>
  </si>
  <si>
    <t>DuPont de Nemours Inc</t>
  </si>
  <si>
    <t>SAM 99460</t>
  </si>
  <si>
    <t>Boston Scientific</t>
  </si>
  <si>
    <t>SAM 63590</t>
  </si>
  <si>
    <t>Reliance Industries Ltd</t>
  </si>
  <si>
    <t>SAM 96923</t>
  </si>
  <si>
    <t>India</t>
  </si>
  <si>
    <t>IN</t>
  </si>
  <si>
    <t>INR</t>
  </si>
  <si>
    <t>Cigna Corp</t>
  </si>
  <si>
    <t>SAM 100041</t>
  </si>
  <si>
    <t>China Mobile Ltd</t>
  </si>
  <si>
    <t>SAM 67490</t>
  </si>
  <si>
    <t>American International Group</t>
  </si>
  <si>
    <t>SAM 60760</t>
  </si>
  <si>
    <t>Koninklijke Philips</t>
  </si>
  <si>
    <t>SAM 91227</t>
  </si>
  <si>
    <t>CSX</t>
  </si>
  <si>
    <t>SAM 64650</t>
  </si>
  <si>
    <t>Antofagasta Plc</t>
  </si>
  <si>
    <t>SAM 94853</t>
  </si>
  <si>
    <t>Allergan Plc</t>
  </si>
  <si>
    <t>SAM 98002</t>
  </si>
  <si>
    <t>Schlumberger</t>
  </si>
  <si>
    <t>SAM 91304</t>
  </si>
  <si>
    <t>Curaçao</t>
  </si>
  <si>
    <t>CW</t>
  </si>
  <si>
    <t>Parker Hannifin</t>
  </si>
  <si>
    <t>SAM 92763</t>
  </si>
  <si>
    <t>Public Storage (REIT)</t>
  </si>
  <si>
    <t>SAM 93397</t>
  </si>
  <si>
    <t>Simon Property Group Inc (REIT)</t>
  </si>
  <si>
    <t>SAM 91763</t>
  </si>
  <si>
    <t>Air Liquide</t>
  </si>
  <si>
    <t>SAM 65350</t>
  </si>
  <si>
    <t>Canadian Imperial Bank of Commerce</t>
  </si>
  <si>
    <t>SAM 91983</t>
  </si>
  <si>
    <t>Ball Corp</t>
  </si>
  <si>
    <t>SAM 93274</t>
  </si>
  <si>
    <t>Intercontinental Exchange Inc</t>
  </si>
  <si>
    <t>SAM 94602</t>
  </si>
  <si>
    <t>PTT Pcl (foreign shs)</t>
  </si>
  <si>
    <t>SAM 97416</t>
  </si>
  <si>
    <t>Adidas AG</t>
  </si>
  <si>
    <t>SAM 59180</t>
  </si>
  <si>
    <t>Estee Lauder Cos A</t>
  </si>
  <si>
    <t>SAM 93329</t>
  </si>
  <si>
    <t>Manulife Financial</t>
  </si>
  <si>
    <t>SAM 92010</t>
  </si>
  <si>
    <t>Progressive Corp</t>
  </si>
  <si>
    <t>SAM 92370</t>
  </si>
  <si>
    <t>PhosAgro PJSC</t>
  </si>
  <si>
    <t>SAM 99092</t>
  </si>
  <si>
    <t>Russian Federation</t>
  </si>
  <si>
    <t>RU</t>
  </si>
  <si>
    <t>Global Payments Inc</t>
  </si>
  <si>
    <t>SAM 98946</t>
  </si>
  <si>
    <t>ServiceNow Inc</t>
  </si>
  <si>
    <t>SAM 98333</t>
  </si>
  <si>
    <t>Roper Technologies</t>
  </si>
  <si>
    <t>SAM 93126</t>
  </si>
  <si>
    <t>Canadian Pacific Railway Ltd</t>
  </si>
  <si>
    <t>SAM 54400</t>
  </si>
  <si>
    <t>Danone</t>
  </si>
  <si>
    <t>SAM 59390</t>
  </si>
  <si>
    <t>Axa</t>
  </si>
  <si>
    <t>SAM 61380</t>
  </si>
  <si>
    <t>Woodside Petroleum</t>
  </si>
  <si>
    <t>SAM 91958</t>
  </si>
  <si>
    <t>ABB (CHF)</t>
  </si>
  <si>
    <t>SAM 91264</t>
  </si>
  <si>
    <t>Eaton Corp PLC</t>
  </si>
  <si>
    <t>SAM 61960</t>
  </si>
  <si>
    <t>Muenchener Rueckversicherungs RG</t>
  </si>
  <si>
    <t>SAM 91175</t>
  </si>
  <si>
    <t>Vertex Pharmaceuticals Inc</t>
  </si>
  <si>
    <t>SAM 94131</t>
  </si>
  <si>
    <t>Norfolk Southern Corp</t>
  </si>
  <si>
    <t>SAM 64300</t>
  </si>
  <si>
    <t>Compass Group PLC</t>
  </si>
  <si>
    <t>SAM 91279</t>
  </si>
  <si>
    <t>Lloyds Banking Group PLC</t>
  </si>
  <si>
    <t>SAM 53690</t>
  </si>
  <si>
    <t>Metlife</t>
  </si>
  <si>
    <t>SAM 92299</t>
  </si>
  <si>
    <t>Emerson Electric</t>
  </si>
  <si>
    <t>SAM 91328</t>
  </si>
  <si>
    <t>Sherwin-Williams Co</t>
  </si>
  <si>
    <t>SAM 93056</t>
  </si>
  <si>
    <t>Applied Materials</t>
  </si>
  <si>
    <t>SAM 64270</t>
  </si>
  <si>
    <t>Aon Corp</t>
  </si>
  <si>
    <t>SAM 93285</t>
  </si>
  <si>
    <t>HEICO Corp</t>
  </si>
  <si>
    <t>SAM 100192</t>
  </si>
  <si>
    <t>UBS Group AG</t>
  </si>
  <si>
    <t>SAM 98618</t>
  </si>
  <si>
    <t>Baxter International</t>
  </si>
  <si>
    <t>SAM 64600</t>
  </si>
  <si>
    <t>Biogen Inc</t>
  </si>
  <si>
    <t>SAM 92141</t>
  </si>
  <si>
    <t>Itau Unibanco Holding SA (pref shs)</t>
  </si>
  <si>
    <t>SAM 96731</t>
  </si>
  <si>
    <t>Charles Schwab Corp</t>
  </si>
  <si>
    <t>SAM 91521</t>
  </si>
  <si>
    <t>Fanuc Corporation</t>
  </si>
  <si>
    <t>SAM 58260</t>
  </si>
  <si>
    <t>Johnson Controls International plc</t>
  </si>
  <si>
    <t>SAM 92314</t>
  </si>
  <si>
    <t>Edwards Lifescienc</t>
  </si>
  <si>
    <t>SAM 91682</t>
  </si>
  <si>
    <t>Recruit Holdings Co Ltd</t>
  </si>
  <si>
    <t>SAM 98565</t>
  </si>
  <si>
    <t>Ingersoll-Rand PLC</t>
  </si>
  <si>
    <t>SAM 91126</t>
  </si>
  <si>
    <t>Capital One Financial</t>
  </si>
  <si>
    <t>SAM 93687</t>
  </si>
  <si>
    <t>Prudential</t>
  </si>
  <si>
    <t>SAM 58810</t>
  </si>
  <si>
    <t>Arconic Inc</t>
  </si>
  <si>
    <t>SAM 99180</t>
  </si>
  <si>
    <t>Cie Financiere Richemont SA</t>
  </si>
  <si>
    <t>SAM 91166</t>
  </si>
  <si>
    <t>The Travelers Companies, Inc.</t>
  </si>
  <si>
    <t>SAM 91986</t>
  </si>
  <si>
    <t>Edison International</t>
  </si>
  <si>
    <t>SAM 65510</t>
  </si>
  <si>
    <t>Aflac Inc.</t>
  </si>
  <si>
    <t>SAM 91985</t>
  </si>
  <si>
    <t>Ross Stores</t>
  </si>
  <si>
    <t>SAM 93403</t>
  </si>
  <si>
    <t>Industria de Diseno Textil SA</t>
  </si>
  <si>
    <t>SAM 91976</t>
  </si>
  <si>
    <t>Lonza Group</t>
  </si>
  <si>
    <t>SAM 92218</t>
  </si>
  <si>
    <t>Cognizant Tech Solutions</t>
  </si>
  <si>
    <t>SAM 93684</t>
  </si>
  <si>
    <t>Takeda Pharmaceutical</t>
  </si>
  <si>
    <t>SAM 61680</t>
  </si>
  <si>
    <t>Marriott Intl</t>
  </si>
  <si>
    <t>SAM 65490</t>
  </si>
  <si>
    <t>Illumina Inc</t>
  </si>
  <si>
    <t>SAM 95201</t>
  </si>
  <si>
    <t>Micron Technology</t>
  </si>
  <si>
    <t>SAM 65380</t>
  </si>
  <si>
    <t>NovaTek PJSC (GDR)</t>
  </si>
  <si>
    <t>SAM 97030</t>
  </si>
  <si>
    <t>ONEOK INC</t>
  </si>
  <si>
    <t>SAM 95198</t>
  </si>
  <si>
    <t>Prudential Financial Inc</t>
  </si>
  <si>
    <t>SAM 92371</t>
  </si>
  <si>
    <t>Sumitomo Mitsui Financial Group</t>
  </si>
  <si>
    <t>SAM 92377</t>
  </si>
  <si>
    <t>PPG Industries</t>
  </si>
  <si>
    <t>SAM 65550</t>
  </si>
  <si>
    <t>Bank of China</t>
  </si>
  <si>
    <t>SAM 95348</t>
  </si>
  <si>
    <t>EOG Resources</t>
  </si>
  <si>
    <t>SAM 93211</t>
  </si>
  <si>
    <t>East Japan Railway</t>
  </si>
  <si>
    <t>SAM 57150</t>
  </si>
  <si>
    <t>KDDI Corp</t>
  </si>
  <si>
    <t>SAM 67080</t>
  </si>
  <si>
    <t>Walgreens Boots Alliance Inc</t>
  </si>
  <si>
    <t>SAM 64130</t>
  </si>
  <si>
    <t>Equinix Inc (REIT)</t>
  </si>
  <si>
    <t>SAM 97775</t>
  </si>
  <si>
    <t>Housing Development Finance</t>
  </si>
  <si>
    <t>SAM 96820</t>
  </si>
  <si>
    <t>Sysco Corp</t>
  </si>
  <si>
    <t>SAM 59580</t>
  </si>
  <si>
    <t>Central Japan Railway</t>
  </si>
  <si>
    <t>SAM 91643</t>
  </si>
  <si>
    <t>Allstate Corp</t>
  </si>
  <si>
    <t>SAM 54800</t>
  </si>
  <si>
    <t>Brookfield Asset Management</t>
  </si>
  <si>
    <t>SAM 91919</t>
  </si>
  <si>
    <t>Woolworths Group Ltd</t>
  </si>
  <si>
    <t>SAM 55060</t>
  </si>
  <si>
    <t>Mitsubishi</t>
  </si>
  <si>
    <t>SAM 54010</t>
  </si>
  <si>
    <t>Bank of New York Mellon</t>
  </si>
  <si>
    <t>SAM 94649</t>
  </si>
  <si>
    <t>Constellation Brands Inc - A</t>
  </si>
  <si>
    <t>SAM 92820</t>
  </si>
  <si>
    <t>Mitsui</t>
  </si>
  <si>
    <t>SAM 57490</t>
  </si>
  <si>
    <t>Fortescue Metals Group</t>
  </si>
  <si>
    <t>SAM 94664</t>
  </si>
  <si>
    <t>Valero Energy</t>
  </si>
  <si>
    <t>SAM 92134</t>
  </si>
  <si>
    <t>Shin-Etsu Chemical</t>
  </si>
  <si>
    <t>SAM 61590</t>
  </si>
  <si>
    <t>Relx Plc</t>
  </si>
  <si>
    <t>SAM 63570</t>
  </si>
  <si>
    <t>Daikin Industries</t>
  </si>
  <si>
    <t>SAM 91646</t>
  </si>
  <si>
    <t>Church &amp; Dwight Co Inc</t>
  </si>
  <si>
    <t>SAM 94435</t>
  </si>
  <si>
    <t>Sun Life Financial Inc</t>
  </si>
  <si>
    <t>SAM 92011</t>
  </si>
  <si>
    <t>Occidental Petroleum</t>
  </si>
  <si>
    <t>SAM 59690</t>
  </si>
  <si>
    <t>American Water Works Co Inc</t>
  </si>
  <si>
    <t>SAM 95246</t>
  </si>
  <si>
    <t>E.ON SE</t>
  </si>
  <si>
    <t>SAM 91742</t>
  </si>
  <si>
    <t>Loblaw</t>
  </si>
  <si>
    <t>SAM 93471</t>
  </si>
  <si>
    <t>NXP Semiconductors NV</t>
  </si>
  <si>
    <t>SAM 98935</t>
  </si>
  <si>
    <t>Waste Connections Inc</t>
  </si>
  <si>
    <t>SAM 99095</t>
  </si>
  <si>
    <t>Flir Systems Inc</t>
  </si>
  <si>
    <t>SAM 95210</t>
  </si>
  <si>
    <t>National Grid Plc</t>
  </si>
  <si>
    <t>SAM 65810</t>
  </si>
  <si>
    <t>CenterPoint Energy</t>
  </si>
  <si>
    <t>SAM 91127</t>
  </si>
  <si>
    <t>Activision Blizzard</t>
  </si>
  <si>
    <t>SAM 94257</t>
  </si>
  <si>
    <t>Ford Motor Co</t>
  </si>
  <si>
    <t>SAM 54220</t>
  </si>
  <si>
    <t>Honda Motor</t>
  </si>
  <si>
    <t>SAM 57190</t>
  </si>
  <si>
    <t>Dow Inc</t>
  </si>
  <si>
    <t>SAM 100106</t>
  </si>
  <si>
    <t>Itochu Corp</t>
  </si>
  <si>
    <t>SAM 91641</t>
  </si>
  <si>
    <t>Nintendo</t>
  </si>
  <si>
    <t>SAM 91376</t>
  </si>
  <si>
    <t>Ing-Groep</t>
  </si>
  <si>
    <t>SAM 55800</t>
  </si>
  <si>
    <t>VF Corp</t>
  </si>
  <si>
    <t>SAM 92527</t>
  </si>
  <si>
    <t>Infosys Limited</t>
  </si>
  <si>
    <t>SAM 96825</t>
  </si>
  <si>
    <t>CK Hutchison Holdings Ltd</t>
  </si>
  <si>
    <t>SAM 60510</t>
  </si>
  <si>
    <t>Volvo B</t>
  </si>
  <si>
    <t>SAM 51561</t>
  </si>
  <si>
    <t>Sweden</t>
  </si>
  <si>
    <t>SE</t>
  </si>
  <si>
    <t>SEK</t>
  </si>
  <si>
    <t>BB&amp;T Corp</t>
  </si>
  <si>
    <t>SAM 93269</t>
  </si>
  <si>
    <t>Equity Residential (REIT)</t>
  </si>
  <si>
    <t>SAM 64790</t>
  </si>
  <si>
    <t>Shopify Inc</t>
  </si>
  <si>
    <t>SAM 99406</t>
  </si>
  <si>
    <t>Intesa SanPaolo</t>
  </si>
  <si>
    <t>SAM 91180</t>
  </si>
  <si>
    <t>Pernod-Ricard</t>
  </si>
  <si>
    <t>SAM 92064</t>
  </si>
  <si>
    <t>Ericsson LM-B SHS</t>
  </si>
  <si>
    <t>SAM 50501</t>
  </si>
  <si>
    <t>Analog Devices</t>
  </si>
  <si>
    <t>SAM 92070</t>
  </si>
  <si>
    <t>KERING</t>
  </si>
  <si>
    <t>SAM 65320</t>
  </si>
  <si>
    <t>The Williams Companies, Inc</t>
  </si>
  <si>
    <t>SAM 65520</t>
  </si>
  <si>
    <t>Essilor International</t>
  </si>
  <si>
    <t>SAM 92161</t>
  </si>
  <si>
    <t>SSE PLC</t>
  </si>
  <si>
    <t>SAM 91084</t>
  </si>
  <si>
    <t>Peugeot</t>
  </si>
  <si>
    <t>SAM 58110</t>
  </si>
  <si>
    <t>Credit Suisse Group RG</t>
  </si>
  <si>
    <t>SAM 56610</t>
  </si>
  <si>
    <t>Paychex</t>
  </si>
  <si>
    <t>SAM 91762</t>
  </si>
  <si>
    <t>VERISK ANALYTICS INC-CLASS A</t>
  </si>
  <si>
    <t>SAM 97864</t>
  </si>
  <si>
    <t>Equinor ASA</t>
  </si>
  <si>
    <t>SAM 91999</t>
  </si>
  <si>
    <t>Norway</t>
  </si>
  <si>
    <t>NO</t>
  </si>
  <si>
    <t>Banco Bradesco SA (pref shs)</t>
  </si>
  <si>
    <t>SAM 95292</t>
  </si>
  <si>
    <t>Dollar General</t>
  </si>
  <si>
    <t>SAM 93221</t>
  </si>
  <si>
    <t>General Mills</t>
  </si>
  <si>
    <t>SAM 61560</t>
  </si>
  <si>
    <t>Yum! Brands Inc</t>
  </si>
  <si>
    <t>SAM 63620</t>
  </si>
  <si>
    <t>Fast Retailing</t>
  </si>
  <si>
    <t>SAM 92352</t>
  </si>
  <si>
    <t>Hong Kong Exchanges &amp; Clearing</t>
  </si>
  <si>
    <t>SAM 91755</t>
  </si>
  <si>
    <t>eBay Inc</t>
  </si>
  <si>
    <t>SAM 91297</t>
  </si>
  <si>
    <t>Deutsche Post</t>
  </si>
  <si>
    <t>SAM 92062</t>
  </si>
  <si>
    <t>HCA Healthcare Inc.</t>
  </si>
  <si>
    <t>SAM 97792</t>
  </si>
  <si>
    <t>FedEx Corp</t>
  </si>
  <si>
    <t>SAM 57300</t>
  </si>
  <si>
    <t>Tesco</t>
  </si>
  <si>
    <t>SAM 65800</t>
  </si>
  <si>
    <t>Softbank Corp</t>
  </si>
  <si>
    <t>SAM 92823</t>
  </si>
  <si>
    <t>Humana Inc</t>
  </si>
  <si>
    <t>SAM 94834</t>
  </si>
  <si>
    <t>Moody's</t>
  </si>
  <si>
    <t>SAM 92790</t>
  </si>
  <si>
    <t>Welltower Inc</t>
  </si>
  <si>
    <t>SAM 95207</t>
  </si>
  <si>
    <t>Hitachi</t>
  </si>
  <si>
    <t>SAM 61620</t>
  </si>
  <si>
    <t>Engie SA</t>
  </si>
  <si>
    <t>SAM 94067</t>
  </si>
  <si>
    <t>Daiichi Sankyo</t>
  </si>
  <si>
    <t>SAM 91011</t>
  </si>
  <si>
    <t>Bayerische Motor Werke</t>
  </si>
  <si>
    <t>SAM 58000</t>
  </si>
  <si>
    <t>NTT DoCoMo</t>
  </si>
  <si>
    <t>SAM 67320</t>
  </si>
  <si>
    <t>London Stock Exchange</t>
  </si>
  <si>
    <t>SAM 91917</t>
  </si>
  <si>
    <t>Kao Corp</t>
  </si>
  <si>
    <t>SAM 66050</t>
  </si>
  <si>
    <t>Terna Rete Elettrica Nazionale SpA</t>
  </si>
  <si>
    <t>SAM 93418</t>
  </si>
  <si>
    <t>DnB</t>
  </si>
  <si>
    <t>SAM 300200</t>
  </si>
  <si>
    <t>Nokia A</t>
  </si>
  <si>
    <t>SAM 50615</t>
  </si>
  <si>
    <t>Finland</t>
  </si>
  <si>
    <t>FI</t>
  </si>
  <si>
    <t>Jiangxi Copper Company Ltd.</t>
  </si>
  <si>
    <t>SAM 95995</t>
  </si>
  <si>
    <t>Mizuho Financial Group</t>
  </si>
  <si>
    <t>SAM 91836</t>
  </si>
  <si>
    <t>Fomento Economico Mexicano SAB de CV</t>
  </si>
  <si>
    <t>SAM 96291</t>
  </si>
  <si>
    <t>Mexico</t>
  </si>
  <si>
    <t>MX</t>
  </si>
  <si>
    <t>Panasonic Corp</t>
  </si>
  <si>
    <t>SAM 54020</t>
  </si>
  <si>
    <t>Canon</t>
  </si>
  <si>
    <t>SAM 55890</t>
  </si>
  <si>
    <t>Experian</t>
  </si>
  <si>
    <t>SAM 94364</t>
  </si>
  <si>
    <t>Jersey</t>
  </si>
  <si>
    <t>JE</t>
  </si>
  <si>
    <t>Prosus NV</t>
  </si>
  <si>
    <t>SAM 100554</t>
  </si>
  <si>
    <t>Shiseido</t>
  </si>
  <si>
    <t>SAM 91026</t>
  </si>
  <si>
    <t>LyondellBasell Industries -Cl A</t>
  </si>
  <si>
    <t>SAM 97510</t>
  </si>
  <si>
    <t>Nippon Telegraph &amp; Telephone Corp</t>
  </si>
  <si>
    <t>SAM 62910</t>
  </si>
  <si>
    <t>TE Connectivity Ltd</t>
  </si>
  <si>
    <t>SAM 94652</t>
  </si>
  <si>
    <t>Nucor Corp</t>
  </si>
  <si>
    <t>SAM 93098</t>
  </si>
  <si>
    <t>Brown-Forman Corp B</t>
  </si>
  <si>
    <t>SAM 94669</t>
  </si>
  <si>
    <t>Hon Hai Precision</t>
  </si>
  <si>
    <t>SAM 91941</t>
  </si>
  <si>
    <t>Oriental Land</t>
  </si>
  <si>
    <t>SAM 91318</t>
  </si>
  <si>
    <t>Advanced Micro Devices</t>
  </si>
  <si>
    <t>SAM 93301</t>
  </si>
  <si>
    <t>Ambev SA</t>
  </si>
  <si>
    <t>SAM 96644</t>
  </si>
  <si>
    <t>LG Corp</t>
  </si>
  <si>
    <t>SAM 94685</t>
  </si>
  <si>
    <t>Banco Bilbao Vizcaya Argentaria S.A.</t>
  </si>
  <si>
    <t>SAM 91162</t>
  </si>
  <si>
    <t>Koninklijke Ahold Delhaize NV</t>
  </si>
  <si>
    <t>SAM 50090</t>
  </si>
  <si>
    <t>Crown Holdings Inc</t>
  </si>
  <si>
    <t>SAM 95407</t>
  </si>
  <si>
    <t>Lam Research Corp</t>
  </si>
  <si>
    <t>SAM 92804</t>
  </si>
  <si>
    <t>Cie de St-Gobain</t>
  </si>
  <si>
    <t>SAM 65340</t>
  </si>
  <si>
    <t>T Rowe Price Group Inc</t>
  </si>
  <si>
    <t>SAM 93396</t>
  </si>
  <si>
    <t>HP Inc</t>
  </si>
  <si>
    <t>SAM 61000</t>
  </si>
  <si>
    <t>Newmont Goldcorp Corp</t>
  </si>
  <si>
    <t>SAM 65460</t>
  </si>
  <si>
    <t>Zimmer Biomet Holdings Inc</t>
  </si>
  <si>
    <t>SAM 92036</t>
  </si>
  <si>
    <t>Tokio Marine Holdings, Inc.</t>
  </si>
  <si>
    <t>SAM 92241</t>
  </si>
  <si>
    <t>Weyerhaeuser Co (REIT)</t>
  </si>
  <si>
    <t>SAM 54210</t>
  </si>
  <si>
    <t>Alumina Ltd</t>
  </si>
  <si>
    <t>SAM 55360</t>
  </si>
  <si>
    <t>Principal Financial Grp</t>
  </si>
  <si>
    <t>SAM 94227</t>
  </si>
  <si>
    <t>Telefonica</t>
  </si>
  <si>
    <t>SAM 55750</t>
  </si>
  <si>
    <t>Baidu Inc</t>
  </si>
  <si>
    <t>SAM 98973</t>
  </si>
  <si>
    <t>Republic Services</t>
  </si>
  <si>
    <t>SAM 93073</t>
  </si>
  <si>
    <t>Workday Inc</t>
  </si>
  <si>
    <t>SAM 98334</t>
  </si>
  <si>
    <t>Expedia Group Inc</t>
  </si>
  <si>
    <t>SAM 91441</t>
  </si>
  <si>
    <t>McKesson Corp</t>
  </si>
  <si>
    <t>SAM 91055</t>
  </si>
  <si>
    <t>Heineken</t>
  </si>
  <si>
    <t>SAM 53160</t>
  </si>
  <si>
    <t>Autodesk</t>
  </si>
  <si>
    <t>SAM 93693</t>
  </si>
  <si>
    <t>Deutsche Boerse</t>
  </si>
  <si>
    <t>SAM 91925</t>
  </si>
  <si>
    <t>Hoya Corp</t>
  </si>
  <si>
    <t>SAM 66870</t>
  </si>
  <si>
    <t>AvalonBay Communities Inc (REIT)</t>
  </si>
  <si>
    <t>SAM 92395</t>
  </si>
  <si>
    <t>Atmos Energy Corp</t>
  </si>
  <si>
    <t>SAM 99018</t>
  </si>
  <si>
    <t>Discover Financial Services</t>
  </si>
  <si>
    <t>SAM 94646</t>
  </si>
  <si>
    <t>Tyson Foods A</t>
  </si>
  <si>
    <t>SAM 93421</t>
  </si>
  <si>
    <t>Firstrand Ltd</t>
  </si>
  <si>
    <t>SAM 97187</t>
  </si>
  <si>
    <t>Hyundai Mobis</t>
  </si>
  <si>
    <t>SAM 96413</t>
  </si>
  <si>
    <t>Cummins</t>
  </si>
  <si>
    <t>SAM 93817</t>
  </si>
  <si>
    <t>Tokyo Electron</t>
  </si>
  <si>
    <t>SAM 65750</t>
  </si>
  <si>
    <t>IHS Markit Ltd</t>
  </si>
  <si>
    <t>SAM 99126</t>
  </si>
  <si>
    <t>Bermuda</t>
  </si>
  <si>
    <t>BM</t>
  </si>
  <si>
    <t>DBS Group Holdings Limited</t>
  </si>
  <si>
    <t>SAM 91340</t>
  </si>
  <si>
    <t>Singapore</t>
  </si>
  <si>
    <t>SG</t>
  </si>
  <si>
    <t>SGD</t>
  </si>
  <si>
    <t>Orange</t>
  </si>
  <si>
    <t>SAM 63670</t>
  </si>
  <si>
    <t>ArcelorMittal</t>
  </si>
  <si>
    <t>SAM 94317</t>
  </si>
  <si>
    <t>Luxembourg</t>
  </si>
  <si>
    <t>LU</t>
  </si>
  <si>
    <t>Assicurazioni General</t>
  </si>
  <si>
    <t>SAM 52810</t>
  </si>
  <si>
    <t>China Overseas Land &amp; Invest</t>
  </si>
  <si>
    <t>SAM 94329</t>
  </si>
  <si>
    <t>Nidec</t>
  </si>
  <si>
    <t>SAM 91648</t>
  </si>
  <si>
    <t>Kia Motors</t>
  </si>
  <si>
    <t>SAM 92175</t>
  </si>
  <si>
    <t>Tesla Inc</t>
  </si>
  <si>
    <t>SAM 98293</t>
  </si>
  <si>
    <t>Twitter Inc</t>
  </si>
  <si>
    <t>SAM 98473</t>
  </si>
  <si>
    <t>Fresnillo Plc</t>
  </si>
  <si>
    <t>SAM 95266</t>
  </si>
  <si>
    <t>Azrieli Group</t>
  </si>
  <si>
    <t>SAM 98800</t>
  </si>
  <si>
    <t>Israel</t>
  </si>
  <si>
    <t>IL</t>
  </si>
  <si>
    <t>ILS</t>
  </si>
  <si>
    <t>Archer-Daniels-Midland</t>
  </si>
  <si>
    <t>SAM 61060</t>
  </si>
  <si>
    <t>Suntrust Banks</t>
  </si>
  <si>
    <t>SAM 91522</t>
  </si>
  <si>
    <t>Keyera Corp</t>
  </si>
  <si>
    <t>SAM 98216</t>
  </si>
  <si>
    <t>Swiss Prime Site AG</t>
  </si>
  <si>
    <t>SAM 95546</t>
  </si>
  <si>
    <t>China Steel Corp</t>
  </si>
  <si>
    <t>SAM 96487</t>
  </si>
  <si>
    <t>United Overseas Bank</t>
  </si>
  <si>
    <t>SAM 91517</t>
  </si>
  <si>
    <t>Amphenol Corp Cl A</t>
  </si>
  <si>
    <t>SAM 58860</t>
  </si>
  <si>
    <t>Macquarie GP LTD</t>
  </si>
  <si>
    <t>SAM 92084</t>
  </si>
  <si>
    <t>Brambles Ltd</t>
  </si>
  <si>
    <t>SAM 63940</t>
  </si>
  <si>
    <t>Murata Manufacturing</t>
  </si>
  <si>
    <t>SAM 54370</t>
  </si>
  <si>
    <t>Clorox Corp</t>
  </si>
  <si>
    <t>SAM 64780</t>
  </si>
  <si>
    <t>Astellas PharmaR</t>
  </si>
  <si>
    <t>SAM 62930</t>
  </si>
  <si>
    <t>AMADEUS IT GROUP S.A</t>
  </si>
  <si>
    <t>SAM 91407</t>
  </si>
  <si>
    <t>Hong Kong &amp; China Gas</t>
  </si>
  <si>
    <t>SAM 60730</t>
  </si>
  <si>
    <t>Assa Abloy B</t>
  </si>
  <si>
    <t>SAM 67332</t>
  </si>
  <si>
    <t>MTU Aero Engines Holding AG</t>
  </si>
  <si>
    <t>SAM 95531</t>
  </si>
  <si>
    <t>Hermes International</t>
  </si>
  <si>
    <t>SAM 93180</t>
  </si>
  <si>
    <t>Autozone</t>
  </si>
  <si>
    <t>SAM 91204</t>
  </si>
  <si>
    <t>Shenzhou International Group Holdings Ltd</t>
  </si>
  <si>
    <t>SAM 98213</t>
  </si>
  <si>
    <t>Samsung C&amp;T Corp</t>
  </si>
  <si>
    <t>SAM 98656</t>
  </si>
  <si>
    <t>B3 SA - Brasil Bolsa Balcao</t>
  </si>
  <si>
    <t>SAM 96656</t>
  </si>
  <si>
    <t>Rumo SA</t>
  </si>
  <si>
    <t>SAM 99356</t>
  </si>
  <si>
    <t>Electronic Arts</t>
  </si>
  <si>
    <t>SAM 91529</t>
  </si>
  <si>
    <t>Orix</t>
  </si>
  <si>
    <t>SAM 92173</t>
  </si>
  <si>
    <t>UCB SA</t>
  </si>
  <si>
    <t>SAM 91110</t>
  </si>
  <si>
    <t>Ventas Inc (REIT)</t>
  </si>
  <si>
    <t>SAM 95118</t>
  </si>
  <si>
    <t>Investor AB-B</t>
  </si>
  <si>
    <t>SAM 52280</t>
  </si>
  <si>
    <t>Swiss Life RG</t>
  </si>
  <si>
    <t>SAM 91697</t>
  </si>
  <si>
    <t>Tata Consultancy</t>
  </si>
  <si>
    <t>SAM 96945</t>
  </si>
  <si>
    <t>Marubeni</t>
  </si>
  <si>
    <t>SAM 91644</t>
  </si>
  <si>
    <t>Barclays Bank</t>
  </si>
  <si>
    <t>SAM 57320</t>
  </si>
  <si>
    <t>Regeneron Pharmaceuticals, Inc.</t>
  </si>
  <si>
    <t>SAM 97770</t>
  </si>
  <si>
    <t>MercadoLibre Inc</t>
  </si>
  <si>
    <t>SAM 99243</t>
  </si>
  <si>
    <t>LG Chem</t>
  </si>
  <si>
    <t>SAM 96461</t>
  </si>
  <si>
    <t>SMC</t>
  </si>
  <si>
    <t>SAM 63080</t>
  </si>
  <si>
    <t>Hershey Foods Common</t>
  </si>
  <si>
    <t>SAM 93178</t>
  </si>
  <si>
    <t>Merck</t>
  </si>
  <si>
    <t>SAM 91100</t>
  </si>
  <si>
    <t>T-Mobile US Inc</t>
  </si>
  <si>
    <t>SAM 98189</t>
  </si>
  <si>
    <t>America Movil S.A.B. De C.V.</t>
  </si>
  <si>
    <t>SAM 94148</t>
  </si>
  <si>
    <t>Loews Corp</t>
  </si>
  <si>
    <t>SAM 59660</t>
  </si>
  <si>
    <t>Yum China Holdings Inc</t>
  </si>
  <si>
    <t>SAM 99178</t>
  </si>
  <si>
    <t>Bank Central Asia</t>
  </si>
  <si>
    <t>SAM 96134</t>
  </si>
  <si>
    <t>Indonesia</t>
  </si>
  <si>
    <t>IDR</t>
  </si>
  <si>
    <t>Constellation Software Inc/Canada</t>
  </si>
  <si>
    <t>SAM 98601</t>
  </si>
  <si>
    <t>Agilent Technologies</t>
  </si>
  <si>
    <t>SAM 91456</t>
  </si>
  <si>
    <t>Corning</t>
  </si>
  <si>
    <t>SAM 57390</t>
  </si>
  <si>
    <t>Coca-Cola European Partners PLC</t>
  </si>
  <si>
    <t>SAM 99062</t>
  </si>
  <si>
    <t>JD.com Inc</t>
  </si>
  <si>
    <t>SAM 98896</t>
  </si>
  <si>
    <t>Paccar</t>
  </si>
  <si>
    <t>SAM 93089</t>
  </si>
  <si>
    <t>Link REIT (REIT)</t>
  </si>
  <si>
    <t>SAM 93835</t>
  </si>
  <si>
    <t>IDEXX Laboratories Inc</t>
  </si>
  <si>
    <t>SAM 99078</t>
  </si>
  <si>
    <t>China Petroleum &amp; Chemical</t>
  </si>
  <si>
    <t>SAM 95627</t>
  </si>
  <si>
    <t>UniCredit SPA</t>
  </si>
  <si>
    <t>SAM 91187</t>
  </si>
  <si>
    <t>PTT Exploration and Production (foreign shs)</t>
  </si>
  <si>
    <t>SAM 91349</t>
  </si>
  <si>
    <t>Komatsu</t>
  </si>
  <si>
    <t>SAM 57120</t>
  </si>
  <si>
    <t>Lafargeholcim Ltd</t>
  </si>
  <si>
    <t>SAM 91098</t>
  </si>
  <si>
    <t>Swiss Re Ltd</t>
  </si>
  <si>
    <t>SAM 97560</t>
  </si>
  <si>
    <t>Hindustan Unilever</t>
  </si>
  <si>
    <t>SAM 96815</t>
  </si>
  <si>
    <t>Nissan Motor</t>
  </si>
  <si>
    <t>SAM 51830</t>
  </si>
  <si>
    <t>Mitsubishi Electric</t>
  </si>
  <si>
    <t>SAM 66680</t>
  </si>
  <si>
    <t>Kla-Tencor</t>
  </si>
  <si>
    <t>SAM 913610</t>
  </si>
  <si>
    <t>Overseas-Chinese Bank</t>
  </si>
  <si>
    <t>SAM 91339</t>
  </si>
  <si>
    <t>O'Reilly Automotive Inc</t>
  </si>
  <si>
    <t>SAM 95322</t>
  </si>
  <si>
    <t>Sonova Holding AG</t>
  </si>
  <si>
    <t>SAM 92625</t>
  </si>
  <si>
    <t>IQVIA Holdings Inc</t>
  </si>
  <si>
    <t>SAM 98477</t>
  </si>
  <si>
    <t>Las Vegas Sands Corp</t>
  </si>
  <si>
    <t>SAM 94230</t>
  </si>
  <si>
    <t>Centene Corp</t>
  </si>
  <si>
    <t>SAM 98818</t>
  </si>
  <si>
    <t>Samsung Electro Mechanics</t>
  </si>
  <si>
    <t>SAM 91688</t>
  </si>
  <si>
    <t>Vonovia SE</t>
  </si>
  <si>
    <t>SAM 98442</t>
  </si>
  <si>
    <t>Vivendi</t>
  </si>
  <si>
    <t>SAM 91887</t>
  </si>
  <si>
    <t>Cintas</t>
  </si>
  <si>
    <t>SAM 92610</t>
  </si>
  <si>
    <t>WellCare Health Plans Inc</t>
  </si>
  <si>
    <t>SAM 100037</t>
  </si>
  <si>
    <t>Willis Towers Watson Plc</t>
  </si>
  <si>
    <t>SAM 94671</t>
  </si>
  <si>
    <t>Corteva Inc</t>
  </si>
  <si>
    <t>SAM 100266</t>
  </si>
  <si>
    <t>Icici Bank</t>
  </si>
  <si>
    <t>SAM 96822</t>
  </si>
  <si>
    <t>Boliden Limited B</t>
  </si>
  <si>
    <t>SAM 91199</t>
  </si>
  <si>
    <t>China Unicom Hong Kong</t>
  </si>
  <si>
    <t>SAM 95925</t>
  </si>
  <si>
    <t>Dassault Systeme</t>
  </si>
  <si>
    <t>SAM 91581</t>
  </si>
  <si>
    <t>State Street</t>
  </si>
  <si>
    <t>SAM 91773</t>
  </si>
  <si>
    <t>Hartford Financial Services</t>
  </si>
  <si>
    <t>SAM 91817</t>
  </si>
  <si>
    <t>FleetCor Technologies Inc</t>
  </si>
  <si>
    <t>SAM 98342</t>
  </si>
  <si>
    <t>Transurban Group</t>
  </si>
  <si>
    <t>SAM 92347</t>
  </si>
  <si>
    <t>IAC/InterActiveCorp</t>
  </si>
  <si>
    <t>SAM 92770</t>
  </si>
  <si>
    <t>Monster Beverage Corp</t>
  </si>
  <si>
    <t>SAM 94798</t>
  </si>
  <si>
    <t>Hewlett Packard Enterprise Co</t>
  </si>
  <si>
    <t>SAM 98912</t>
  </si>
  <si>
    <t>Swedbank AB (A shs)</t>
  </si>
  <si>
    <t>SAM 916140</t>
  </si>
  <si>
    <t>Iron Mountain Inc (REIT)</t>
  </si>
  <si>
    <t>SAM 94248</t>
  </si>
  <si>
    <t>TransUnion</t>
  </si>
  <si>
    <t>SAM 99540</t>
  </si>
  <si>
    <t>Mirvac Group (REIT)</t>
  </si>
  <si>
    <t>SAM 91916</t>
  </si>
  <si>
    <t>Dollar Tree Inc</t>
  </si>
  <si>
    <t>SAM 95264</t>
  </si>
  <si>
    <t>China Resources Beer Holdings</t>
  </si>
  <si>
    <t>SAM 92726</t>
  </si>
  <si>
    <t>Kerry Group Plc-A</t>
  </si>
  <si>
    <t>SAM 92895</t>
  </si>
  <si>
    <t>Carlsberg B</t>
  </si>
  <si>
    <t>SAM 62532</t>
  </si>
  <si>
    <t>Stanley Black and Decker Inc</t>
  </si>
  <si>
    <t>SAM 64470</t>
  </si>
  <si>
    <t>PrairieSky Royalty Ltd</t>
  </si>
  <si>
    <t>SAM 98584</t>
  </si>
  <si>
    <t>Annaly Capital Management Inc (REIT)</t>
  </si>
  <si>
    <t>SAM 94937</t>
  </si>
  <si>
    <t>Asian Paints Ltd</t>
  </si>
  <si>
    <t>SAM 97824</t>
  </si>
  <si>
    <t>Alcon Inc</t>
  </si>
  <si>
    <t>SAM 100113</t>
  </si>
  <si>
    <t>Nippon Prologis REIT Inc</t>
  </si>
  <si>
    <t>SAM 98253</t>
  </si>
  <si>
    <t>Givaudan</t>
  </si>
  <si>
    <t>SAM 91732</t>
  </si>
  <si>
    <t>Realty Income Corp</t>
  </si>
  <si>
    <t>SAM 97953</t>
  </si>
  <si>
    <t>Bank Rakyat Indonesia</t>
  </si>
  <si>
    <t>SAM 93762</t>
  </si>
  <si>
    <t>Newcrest Mining</t>
  </si>
  <si>
    <t>SAM 57600</t>
  </si>
  <si>
    <t>WP Carey Inc</t>
  </si>
  <si>
    <t>SAM 99957</t>
  </si>
  <si>
    <t>Wheaton Precious Metals Corp</t>
  </si>
  <si>
    <t>SAM 95247</t>
  </si>
  <si>
    <t>SBA Communications</t>
  </si>
  <si>
    <t>SAM 99578</t>
  </si>
  <si>
    <t>Smith &amp; Nephew</t>
  </si>
  <si>
    <t>SAM 91478</t>
  </si>
  <si>
    <t>Asahi Group Holdings Ltd</t>
  </si>
  <si>
    <t>SAM 91007</t>
  </si>
  <si>
    <t>Largan Precision</t>
  </si>
  <si>
    <t>SAM 93775</t>
  </si>
  <si>
    <t>Synchrony Financial</t>
  </si>
  <si>
    <t>SAM 98582</t>
  </si>
  <si>
    <t>Atlas Copco AB</t>
  </si>
  <si>
    <t>SAM 57770</t>
  </si>
  <si>
    <t>Mediatek</t>
  </si>
  <si>
    <t>SAM 92835</t>
  </si>
  <si>
    <t>Standard Chartered</t>
  </si>
  <si>
    <t>SAM 92150</t>
  </si>
  <si>
    <t>Naver Corporation</t>
  </si>
  <si>
    <t>SAM 96285</t>
  </si>
  <si>
    <t>Orsted A/S</t>
  </si>
  <si>
    <t>SAM 99104</t>
  </si>
  <si>
    <t>Mitsui Fudosan</t>
  </si>
  <si>
    <t>SAM 58270</t>
  </si>
  <si>
    <t>Mettler-Toledo International A</t>
  </si>
  <si>
    <t>SAM 61200</t>
  </si>
  <si>
    <t>McCormick &amp; Co</t>
  </si>
  <si>
    <t>SAM 93371</t>
  </si>
  <si>
    <t>Akzo Nobel</t>
  </si>
  <si>
    <t>SAM 53800</t>
  </si>
  <si>
    <t>Hilton Worldwide Holdings Inc</t>
  </si>
  <si>
    <t>SAM 98532</t>
  </si>
  <si>
    <t>Smiths Group</t>
  </si>
  <si>
    <t>SAM 57050</t>
  </si>
  <si>
    <t>Singapore Technologies Engineering</t>
  </si>
  <si>
    <t>SAM 67420</t>
  </si>
  <si>
    <t>Mega Financial Holding CO</t>
  </si>
  <si>
    <t>SAM 94320</t>
  </si>
  <si>
    <t>Kraft Heinz Co/The</t>
  </si>
  <si>
    <t>SAM 98851</t>
  </si>
  <si>
    <t>Koninklijke DSM NV</t>
  </si>
  <si>
    <t>SAM 93218</t>
  </si>
  <si>
    <t>Axis Bank</t>
  </si>
  <si>
    <t>SAM 96871</t>
  </si>
  <si>
    <t>Geberit AG Reg</t>
  </si>
  <si>
    <t>SAM 92849</t>
  </si>
  <si>
    <t>WSP Global Inc</t>
  </si>
  <si>
    <t>SAM 99866</t>
  </si>
  <si>
    <t>Kellogg Co</t>
  </si>
  <si>
    <t>SAM 65210</t>
  </si>
  <si>
    <t>Baker Hughes, a GE Co, LLC</t>
  </si>
  <si>
    <t>SAM 99439</t>
  </si>
  <si>
    <t>Mitsubishi Estate</t>
  </si>
  <si>
    <t>SAM 61520</t>
  </si>
  <si>
    <t>Hanon Systems</t>
  </si>
  <si>
    <t>SAM 98212</t>
  </si>
  <si>
    <t>Nordea Bank Abp</t>
  </si>
  <si>
    <t>SAM 99944</t>
  </si>
  <si>
    <t>Kone Oyj</t>
  </si>
  <si>
    <t>SAM 51333</t>
  </si>
  <si>
    <t>Daiwa House Industry</t>
  </si>
  <si>
    <t>SAM 54060</t>
  </si>
  <si>
    <t>Avery Dennison Corp</t>
  </si>
  <si>
    <t>SAM 92306</t>
  </si>
  <si>
    <t>CDW Corp/DE</t>
  </si>
  <si>
    <t>SAM 98971</t>
  </si>
  <si>
    <t>Resmed Inc</t>
  </si>
  <si>
    <t>SAM 94291</t>
  </si>
  <si>
    <t>Kirkland Lake Gold Ltd</t>
  </si>
  <si>
    <t>SAM 100222</t>
  </si>
  <si>
    <t>Taiwan Cement</t>
  </si>
  <si>
    <t>SAM 96480</t>
  </si>
  <si>
    <t>Alexion Pharmaceuticals, Inc.</t>
  </si>
  <si>
    <t>SAM 97615</t>
  </si>
  <si>
    <t>UNI-President Enterprises</t>
  </si>
  <si>
    <t>SAM 96503</t>
  </si>
  <si>
    <t>Copart Inc</t>
  </si>
  <si>
    <t>SAM 99802</t>
  </si>
  <si>
    <t>Magna A</t>
  </si>
  <si>
    <t>SAM 92560</t>
  </si>
  <si>
    <t>Societe Generale</t>
  </si>
  <si>
    <t>SAM 91155</t>
  </si>
  <si>
    <t>Henkel AG &amp; Co KGaA (pref shs)</t>
  </si>
  <si>
    <t>SAM 93181</t>
  </si>
  <si>
    <t>Xilink</t>
  </si>
  <si>
    <t>SAM 92286</t>
  </si>
  <si>
    <t>SR Teleperfomance</t>
  </si>
  <si>
    <t>SAM 94151</t>
  </si>
  <si>
    <t>Temenos Group AG</t>
  </si>
  <si>
    <t>SAM 95519</t>
  </si>
  <si>
    <t>Kroger</t>
  </si>
  <si>
    <t>SAM 59510</t>
  </si>
  <si>
    <t>Waters Corp</t>
  </si>
  <si>
    <t>SAM 92564</t>
  </si>
  <si>
    <t>Jfe Holdings</t>
  </si>
  <si>
    <t>SAM 92342</t>
  </si>
  <si>
    <t>Banco BTG Pactual SA</t>
  </si>
  <si>
    <t>SAM 100210</t>
  </si>
  <si>
    <t>LG Household &amp; Health</t>
  </si>
  <si>
    <t>SAM 96468</t>
  </si>
  <si>
    <t>Gas Naturale</t>
  </si>
  <si>
    <t>SAM 66140</t>
  </si>
  <si>
    <t>KKR &amp; Co Inc</t>
  </si>
  <si>
    <t>SAM 100086</t>
  </si>
  <si>
    <t>Toshiba</t>
  </si>
  <si>
    <t>SAM 54420</t>
  </si>
  <si>
    <t>Digital Realty Trust Inc (REIT)</t>
  </si>
  <si>
    <t>SAM 97784</t>
  </si>
  <si>
    <t>Heineken Holding NV</t>
  </si>
  <si>
    <t>SAM 94858</t>
  </si>
  <si>
    <t>SAM 100193</t>
  </si>
  <si>
    <t>UGI Corp</t>
  </si>
  <si>
    <t>SAM 99076</t>
  </si>
  <si>
    <t>Essex Property Trust Inc</t>
  </si>
  <si>
    <t>SAM 98427</t>
  </si>
  <si>
    <t>Northern Trust Corporation</t>
  </si>
  <si>
    <t>SAM 92408</t>
  </si>
  <si>
    <t>AGNC Investment Corp (REIT)</t>
  </si>
  <si>
    <t>SAM 97779</t>
  </si>
  <si>
    <t>Segro PLC (REIT)</t>
  </si>
  <si>
    <t>SAM 92648</t>
  </si>
  <si>
    <t>Fortive Corp</t>
  </si>
  <si>
    <t>SAM 99123</t>
  </si>
  <si>
    <t>Keysight Technologies Inc</t>
  </si>
  <si>
    <t>SAM 98567</t>
  </si>
  <si>
    <t>Carnival USD</t>
  </si>
  <si>
    <t>SAM 64420</t>
  </si>
  <si>
    <t>Panama</t>
  </si>
  <si>
    <t>PA</t>
  </si>
  <si>
    <t>Infineon</t>
  </si>
  <si>
    <t>SAM 91638</t>
  </si>
  <si>
    <t>Genuine Parts</t>
  </si>
  <si>
    <t>SAM 61550</t>
  </si>
  <si>
    <t>Shinhan Financial Group</t>
  </si>
  <si>
    <t>SAM 92244</t>
  </si>
  <si>
    <t>Mitsubishi Heavy Industries</t>
  </si>
  <si>
    <t>SAM 61660</t>
  </si>
  <si>
    <t>NetEase Inc</t>
  </si>
  <si>
    <t>SAM 98975</t>
  </si>
  <si>
    <t>Ametek</t>
  </si>
  <si>
    <t>SAM 94280</t>
  </si>
  <si>
    <t>Wolters Kluwer</t>
  </si>
  <si>
    <t>SAM 53760</t>
  </si>
  <si>
    <t>Michelin B</t>
  </si>
  <si>
    <t>SAM 55720</t>
  </si>
  <si>
    <t>Yuanta Financial Holding Co Ltd</t>
  </si>
  <si>
    <t>SAM 96544</t>
  </si>
  <si>
    <t>BOC Aviation Ltd</t>
  </si>
  <si>
    <t>SAM 99785</t>
  </si>
  <si>
    <t>LG Electronics</t>
  </si>
  <si>
    <t>SAM 92363</t>
  </si>
  <si>
    <t>BT Group</t>
  </si>
  <si>
    <t>SAM 53970</t>
  </si>
  <si>
    <t>Aviva PLC</t>
  </si>
  <si>
    <t>SAM 913260</t>
  </si>
  <si>
    <t>Lululemon Athletica Inc.</t>
  </si>
  <si>
    <t>SAM 97791</t>
  </si>
  <si>
    <t>Square Inc</t>
  </si>
  <si>
    <t>SAM 99538</t>
  </si>
  <si>
    <t>Bluescope Steel</t>
  </si>
  <si>
    <t>SAM 92330</t>
  </si>
  <si>
    <t>Cadence Design Sys</t>
  </si>
  <si>
    <t>SAM 915090</t>
  </si>
  <si>
    <t>Liberty Broadband Corp</t>
  </si>
  <si>
    <t>SAM 98575</t>
  </si>
  <si>
    <t>First Financial Holding Co Ltd</t>
  </si>
  <si>
    <t>SAM 96552</t>
  </si>
  <si>
    <t>HCL Technologies Ltd</t>
  </si>
  <si>
    <t>SAM 96805</t>
  </si>
  <si>
    <t>Adani Ports &amp; Special Economic Zone Ltd</t>
  </si>
  <si>
    <t>SAM 97829</t>
  </si>
  <si>
    <t>Wirecard AG</t>
  </si>
  <si>
    <t>SAM 94890</t>
  </si>
  <si>
    <t>National bank of Canada</t>
  </si>
  <si>
    <t>SAM 91918</t>
  </si>
  <si>
    <t>Sekisui House</t>
  </si>
  <si>
    <t>SAM 63820</t>
  </si>
  <si>
    <t>Synopsys</t>
  </si>
  <si>
    <t>SAM 93038</t>
  </si>
  <si>
    <t>Legrand</t>
  </si>
  <si>
    <t>SAM 95106</t>
  </si>
  <si>
    <t>Cerner Corp</t>
  </si>
  <si>
    <t>SAM 95415</t>
  </si>
  <si>
    <t>Denso</t>
  </si>
  <si>
    <t>SAM 61640</t>
  </si>
  <si>
    <t>Sika AG</t>
  </si>
  <si>
    <t>SAM 97283</t>
  </si>
  <si>
    <t>Targa Resources Corp</t>
  </si>
  <si>
    <t>SAM 97697</t>
  </si>
  <si>
    <t>Hang Seng Bank</t>
  </si>
  <si>
    <t>SAM 60520</t>
  </si>
  <si>
    <t>Kirin Holdings Company Limited</t>
  </si>
  <si>
    <t>SAM 55590</t>
  </si>
  <si>
    <t>BDO Unibank Inc</t>
  </si>
  <si>
    <t>SAM 97923</t>
  </si>
  <si>
    <t>Philippines</t>
  </si>
  <si>
    <t>PH</t>
  </si>
  <si>
    <t>Terumo</t>
  </si>
  <si>
    <t>SAM 64030</t>
  </si>
  <si>
    <t>Amcor PLC</t>
  </si>
  <si>
    <t>SAM 100275</t>
  </si>
  <si>
    <t>SinoPac Financial Holdings Co Ltd</t>
  </si>
  <si>
    <t>SAM 96615</t>
  </si>
  <si>
    <t>LKQ CORP</t>
  </si>
  <si>
    <t>SAM 98034</t>
  </si>
  <si>
    <t>Meituan Dianping</t>
  </si>
  <si>
    <t>SAM 100087</t>
  </si>
  <si>
    <t>EVRAZ PLC</t>
  </si>
  <si>
    <t>SAM 97817</t>
  </si>
  <si>
    <t>China Merchants Bank Co Ltd</t>
  </si>
  <si>
    <t>SAM 95743</t>
  </si>
  <si>
    <t>Vulcan Materials</t>
  </si>
  <si>
    <t>SAM 92221</t>
  </si>
  <si>
    <t>Ayala Land</t>
  </si>
  <si>
    <t>SAM 96339</t>
  </si>
  <si>
    <t>Qiagen</t>
  </si>
  <si>
    <t>SAM 92318</t>
  </si>
  <si>
    <t>Credit Agricole</t>
  </si>
  <si>
    <t>SAM 92888</t>
  </si>
  <si>
    <t>Singapore Telecom</t>
  </si>
  <si>
    <t>SAM 56530</t>
  </si>
  <si>
    <t>Leggett &amp; Platt</t>
  </si>
  <si>
    <t>SAM 93366</t>
  </si>
  <si>
    <t>Kohl's Corp</t>
  </si>
  <si>
    <t>SAM 92289</t>
  </si>
  <si>
    <t>Bridgestone</t>
  </si>
  <si>
    <t>SAM 55680</t>
  </si>
  <si>
    <t>Postal Savings Bank of China Co Ltd</t>
  </si>
  <si>
    <t>SAM 99784</t>
  </si>
  <si>
    <t>Zebra Technologies</t>
  </si>
  <si>
    <t>SAM 94039</t>
  </si>
  <si>
    <t>Royal Caribbean Cruises USD</t>
  </si>
  <si>
    <t>SAM 54430</t>
  </si>
  <si>
    <t>Liberia</t>
  </si>
  <si>
    <t>LR</t>
  </si>
  <si>
    <t>Old Dominion Freight Line Inc</t>
  </si>
  <si>
    <t>SAM 99548</t>
  </si>
  <si>
    <t>Pioneer Natural Resources</t>
  </si>
  <si>
    <t>SAM 92383</t>
  </si>
  <si>
    <t>Secom</t>
  </si>
  <si>
    <t>SAM 63870</t>
  </si>
  <si>
    <t>Chunghwa Telecom Co Ltd</t>
  </si>
  <si>
    <t>SAM 96496</t>
  </si>
  <si>
    <t>Vereit Inc</t>
  </si>
  <si>
    <t>SAM 98405</t>
  </si>
  <si>
    <t>Fresenius SE</t>
  </si>
  <si>
    <t>SAM 95167</t>
  </si>
  <si>
    <t>Take-Two Interactive Software</t>
  </si>
  <si>
    <t>SAM 94717</t>
  </si>
  <si>
    <t>Ameriprise Financial</t>
  </si>
  <si>
    <t>SAM 93802</t>
  </si>
  <si>
    <t>Omnicom Group</t>
  </si>
  <si>
    <t>SAM 91330</t>
  </si>
  <si>
    <t>Banco do Brasil SA</t>
  </si>
  <si>
    <t>SAM 96653</t>
  </si>
  <si>
    <t>Boston Properties Inc (REIT)</t>
  </si>
  <si>
    <t>SAM 92579</t>
  </si>
  <si>
    <t>SGS</t>
  </si>
  <si>
    <t>SAM 93057</t>
  </si>
  <si>
    <t>Fastenal Co</t>
  </si>
  <si>
    <t>SAM 93676</t>
  </si>
  <si>
    <t>Vestas Wind System</t>
  </si>
  <si>
    <t>SAM 66290</t>
  </si>
  <si>
    <t>CSPC Pharmaceutical Group Ltd</t>
  </si>
  <si>
    <t>SAM 98413</t>
  </si>
  <si>
    <t>Dialog Group BHD</t>
  </si>
  <si>
    <t>SAM 98353</t>
  </si>
  <si>
    <t>Malaysia</t>
  </si>
  <si>
    <t>MY</t>
  </si>
  <si>
    <t>MYR</t>
  </si>
  <si>
    <t>Capgemini SE</t>
  </si>
  <si>
    <t>SAM 66860</t>
  </si>
  <si>
    <t>International Paper</t>
  </si>
  <si>
    <t>SAM 64260</t>
  </si>
  <si>
    <t>Cosan On</t>
  </si>
  <si>
    <t>SAM 96685</t>
  </si>
  <si>
    <t>TAL Education Group</t>
  </si>
  <si>
    <t>SAM 98978</t>
  </si>
  <si>
    <t>STERIS PLC</t>
  </si>
  <si>
    <t>SAM 100198</t>
  </si>
  <si>
    <t>Taiwan Mobile</t>
  </si>
  <si>
    <t>SAM 92632</t>
  </si>
  <si>
    <t>Ferguson PLC</t>
  </si>
  <si>
    <t>SAM 100122</t>
  </si>
  <si>
    <t>Rockwell Automation Inc</t>
  </si>
  <si>
    <t>SAM 56540</t>
  </si>
  <si>
    <t>CK Asset Holdings Ltd</t>
  </si>
  <si>
    <t>SAM 98768</t>
  </si>
  <si>
    <t>MarketAxess Holdings Inc</t>
  </si>
  <si>
    <t>SAM 100191</t>
  </si>
  <si>
    <t>Kubota</t>
  </si>
  <si>
    <t>SAM 61650</t>
  </si>
  <si>
    <t>Franco-Nevada Corp</t>
  </si>
  <si>
    <t>SAM 95399</t>
  </si>
  <si>
    <t>Beiersdorf</t>
  </si>
  <si>
    <t>SAM 91089</t>
  </si>
  <si>
    <t>SAM 57771</t>
  </si>
  <si>
    <t>Insurance Australia Group</t>
  </si>
  <si>
    <t>SAM 92550</t>
  </si>
  <si>
    <t>Sumitomo Realty &amp; Dev</t>
  </si>
  <si>
    <t>SAM 54730</t>
  </si>
  <si>
    <t>Pan Pacific International Hold</t>
  </si>
  <si>
    <t>SAM 92637</t>
  </si>
  <si>
    <t>Cameco Corp</t>
  </si>
  <si>
    <t>SAM 92754</t>
  </si>
  <si>
    <t>Upm-Kymmene</t>
  </si>
  <si>
    <t>SAM 60130</t>
  </si>
  <si>
    <t>Equifax</t>
  </si>
  <si>
    <t>SAM 93210</t>
  </si>
  <si>
    <t>Fujitsu Ltd</t>
  </si>
  <si>
    <t>SAM 63830</t>
  </si>
  <si>
    <t>Bank Mandiri</t>
  </si>
  <si>
    <t>SAM 92592</t>
  </si>
  <si>
    <t>UPL Limited</t>
  </si>
  <si>
    <t>SAM 96963</t>
  </si>
  <si>
    <t>Conagra Brands Inc</t>
  </si>
  <si>
    <t>SAM 64250</t>
  </si>
  <si>
    <t>Apa Group</t>
  </si>
  <si>
    <t>SAM 94694</t>
  </si>
  <si>
    <t>Ferrari NV</t>
  </si>
  <si>
    <t>SAM 98988</t>
  </si>
  <si>
    <t>CGI Inc</t>
  </si>
  <si>
    <t>SAM 92788</t>
  </si>
  <si>
    <t>DR Horton</t>
  </si>
  <si>
    <t>SAM 93322</t>
  </si>
  <si>
    <t>ANSYS INC</t>
  </si>
  <si>
    <t>SAM 97778</t>
  </si>
  <si>
    <t>Scentre Group (REIT)</t>
  </si>
  <si>
    <t>SAM 98494</t>
  </si>
  <si>
    <t>Fiat Chrysler Automobiles NV</t>
  </si>
  <si>
    <t>SAM 98561</t>
  </si>
  <si>
    <t>M&amp;T Bank Corp</t>
  </si>
  <si>
    <t>SAM 93368</t>
  </si>
  <si>
    <t>Public Bank Bhd</t>
  </si>
  <si>
    <t>SAM 98170</t>
  </si>
  <si>
    <t>Chipotle Mexican Grill Inc</t>
  </si>
  <si>
    <t>SAM 97469</t>
  </si>
  <si>
    <t>Martin Marietta Materials</t>
  </si>
  <si>
    <t>SAM 94154</t>
  </si>
  <si>
    <t>Molson Coors Brewing USA</t>
  </si>
  <si>
    <t>SAM 93537</t>
  </si>
  <si>
    <t>Electricite de France SA</t>
  </si>
  <si>
    <t>SAM 94792</t>
  </si>
  <si>
    <t>Central Pattana PCL (foreign shares)</t>
  </si>
  <si>
    <t>SAM 99048</t>
  </si>
  <si>
    <t>Aramark</t>
  </si>
  <si>
    <t>SAM 98776</t>
  </si>
  <si>
    <t>Samsung SDI</t>
  </si>
  <si>
    <t>SAM 92303</t>
  </si>
  <si>
    <t>Sandvik</t>
  </si>
  <si>
    <t>SAM 54721</t>
  </si>
  <si>
    <t>DSV</t>
  </si>
  <si>
    <t>SAM 92716</t>
  </si>
  <si>
    <t>Symrise AG</t>
  </si>
  <si>
    <t>SAM 98605</t>
  </si>
  <si>
    <t>FUBON FINANCIAL HOLDING</t>
  </si>
  <si>
    <t>SAM 96565</t>
  </si>
  <si>
    <t>Laboratory Corporation of America</t>
  </si>
  <si>
    <t>SAM 93365</t>
  </si>
  <si>
    <t>Rogers Communications B</t>
  </si>
  <si>
    <t>SAM 93071</t>
  </si>
  <si>
    <t>Veeva Systems Inc</t>
  </si>
  <si>
    <t>SAM 99418</t>
  </si>
  <si>
    <t>Ecopetrol SA</t>
  </si>
  <si>
    <t>SAM 97221</t>
  </si>
  <si>
    <t>Columbia</t>
  </si>
  <si>
    <t>CO</t>
  </si>
  <si>
    <t>COP</t>
  </si>
  <si>
    <t>PerkinElmer</t>
  </si>
  <si>
    <t>SAM 92909</t>
  </si>
  <si>
    <t>Everest Re Group</t>
  </si>
  <si>
    <t>SAM 93493</t>
  </si>
  <si>
    <t>Darden Restaurants</t>
  </si>
  <si>
    <t>SAM 93226</t>
  </si>
  <si>
    <t>Metro Inc</t>
  </si>
  <si>
    <t>SAM 94832</t>
  </si>
  <si>
    <t>Kyocera</t>
  </si>
  <si>
    <t>SAM 61630</t>
  </si>
  <si>
    <t>Shionogi</t>
  </si>
  <si>
    <t>SAM 91652</t>
  </si>
  <si>
    <t>MSCI Inc</t>
  </si>
  <si>
    <t>SAM 99021</t>
  </si>
  <si>
    <t>ASE Technology Holding Co Ltd</t>
  </si>
  <si>
    <t>SAM 99688</t>
  </si>
  <si>
    <t>Concho Resources Inc</t>
  </si>
  <si>
    <t>SAM 97561</t>
  </si>
  <si>
    <t>Halliburton</t>
  </si>
  <si>
    <t>SAM 64570</t>
  </si>
  <si>
    <t>Subaru Corporation</t>
  </si>
  <si>
    <t>SAM 93825</t>
  </si>
  <si>
    <t>Fifth Third Bancorp</t>
  </si>
  <si>
    <t>SAM 92066</t>
  </si>
  <si>
    <t>Itausa - Investimentos Itau SA (pref shs)</t>
  </si>
  <si>
    <t>SAM 95293</t>
  </si>
  <si>
    <t>Ayala Corp</t>
  </si>
  <si>
    <t>SAM 96323</t>
  </si>
  <si>
    <t>Seagate Technology</t>
  </si>
  <si>
    <t>SAM 53920</t>
  </si>
  <si>
    <t>Auckland International Airport</t>
  </si>
  <si>
    <t>SAM 92556</t>
  </si>
  <si>
    <t>New Zealand</t>
  </si>
  <si>
    <t>NZ</t>
  </si>
  <si>
    <t>NZD</t>
  </si>
  <si>
    <t>Spirax-Sarco Engineering PLC</t>
  </si>
  <si>
    <t>SAM 100186</t>
  </si>
  <si>
    <t>BB Seguridade Participacoes S/A</t>
  </si>
  <si>
    <t>SAM 98197</t>
  </si>
  <si>
    <t>AENA S.M.E. S.A</t>
  </si>
  <si>
    <t>SAM 98724</t>
  </si>
  <si>
    <t>CoStar Group Inc</t>
  </si>
  <si>
    <t>SAM 99220</t>
  </si>
  <si>
    <t>Cia Energetica de Minas Gerais (pref shs)</t>
  </si>
  <si>
    <t>SAM 96675</t>
  </si>
  <si>
    <t>Microchip Tecnology</t>
  </si>
  <si>
    <t>SAM 91594</t>
  </si>
  <si>
    <t>Teleflex Inc</t>
  </si>
  <si>
    <t>SAM 99236</t>
  </si>
  <si>
    <t>Renault</t>
  </si>
  <si>
    <t>SAM 91194</t>
  </si>
  <si>
    <t>Meggitt Plc</t>
  </si>
  <si>
    <t>SAM 93124</t>
  </si>
  <si>
    <t>Western Digital Corp</t>
  </si>
  <si>
    <t>SAM 93787</t>
  </si>
  <si>
    <t>Goodman Group (REIT)</t>
  </si>
  <si>
    <t>SAM 94038</t>
  </si>
  <si>
    <t>FORMOSA PETROCHEMICAL CO</t>
  </si>
  <si>
    <t>SAM 96555</t>
  </si>
  <si>
    <t>Unicharm Corp</t>
  </si>
  <si>
    <t>SAM 57590</t>
  </si>
  <si>
    <t>Banco Bradesco SA</t>
  </si>
  <si>
    <t>SAM 98020</t>
  </si>
  <si>
    <t>Nan Ya Plastic Corp</t>
  </si>
  <si>
    <t>SAM 94318</t>
  </si>
  <si>
    <t>Chugai Pharmaceutical</t>
  </si>
  <si>
    <t>SAM 91655</t>
  </si>
  <si>
    <t>Kuehne &amp; Nagel Intl. AG-Reg</t>
  </si>
  <si>
    <t>SAM 93866</t>
  </si>
  <si>
    <t>FUJIFILM Holdings Corp</t>
  </si>
  <si>
    <t>SAM 61690</t>
  </si>
  <si>
    <t>Ally Financial Inc</t>
  </si>
  <si>
    <t>SAM 98533</t>
  </si>
  <si>
    <t>Arch Capital</t>
  </si>
  <si>
    <t>SAM 95265</t>
  </si>
  <si>
    <t>Sei Investments Co</t>
  </si>
  <si>
    <t>SAM 94899</t>
  </si>
  <si>
    <t>Israel Chemicals Ltd</t>
  </si>
  <si>
    <t>SAM 96844</t>
  </si>
  <si>
    <t>Verisign</t>
  </si>
  <si>
    <t>SAM 91815</t>
  </si>
  <si>
    <t>Palo Alto Networks Inc</t>
  </si>
  <si>
    <t>SAM 98609</t>
  </si>
  <si>
    <t>Ajinomoto</t>
  </si>
  <si>
    <t>SAM 61670</t>
  </si>
  <si>
    <t>Legal &amp; General Group</t>
  </si>
  <si>
    <t>SAM 91374</t>
  </si>
  <si>
    <t>Xiaomi Corp</t>
  </si>
  <si>
    <t>SAM 100092</t>
  </si>
  <si>
    <t>Treasury Wine Estates Ltd</t>
  </si>
  <si>
    <t>SAM 97544</t>
  </si>
  <si>
    <t>Cardinal Health</t>
  </si>
  <si>
    <t>SAM 91324</t>
  </si>
  <si>
    <t>JM Smucker Co</t>
  </si>
  <si>
    <t>SAM 92281</t>
  </si>
  <si>
    <t>APTIV PLC.</t>
  </si>
  <si>
    <t>SAM 97786</t>
  </si>
  <si>
    <t>FactSet Research Systems Inc</t>
  </si>
  <si>
    <t>SAM 100199</t>
  </si>
  <si>
    <t>Bharti Airtel Ltd</t>
  </si>
  <si>
    <t>SAM 96783</t>
  </si>
  <si>
    <t>Maxim Integrated Products</t>
  </si>
  <si>
    <t>SAM 92142</t>
  </si>
  <si>
    <t>Hennes &amp; Mauritz B</t>
  </si>
  <si>
    <t>SAM 53250</t>
  </si>
  <si>
    <t>HCP Inc (REIT)</t>
  </si>
  <si>
    <t>SAM 93674</t>
  </si>
  <si>
    <t>Hormel Foods</t>
  </si>
  <si>
    <t>SAM 94999</t>
  </si>
  <si>
    <t>Twilio Inc</t>
  </si>
  <si>
    <t>SAM 100269</t>
  </si>
  <si>
    <t>Malayan Banking</t>
  </si>
  <si>
    <t>SAM 60660</t>
  </si>
  <si>
    <t>Swisscom</t>
  </si>
  <si>
    <t>SAM 67300</t>
  </si>
  <si>
    <t>Bajaj Auto</t>
  </si>
  <si>
    <t>SAM 96872</t>
  </si>
  <si>
    <t>Bharat Petroleum Corp Ltd</t>
  </si>
  <si>
    <t>SAM 96782</t>
  </si>
  <si>
    <t>KB Financial Group</t>
  </si>
  <si>
    <t>SAM 92653</t>
  </si>
  <si>
    <t>Deutsche Bank</t>
  </si>
  <si>
    <t>SAM 51700</t>
  </si>
  <si>
    <t>Stockland (REIT)</t>
  </si>
  <si>
    <t>SAM 91890</t>
  </si>
  <si>
    <t>Siam Cement Plc (foreign shs)</t>
  </si>
  <si>
    <t>SAM 96558</t>
  </si>
  <si>
    <t>Telekomunikasi Indonesia TBK</t>
  </si>
  <si>
    <t>SAM 96185</t>
  </si>
  <si>
    <t>MS&amp;AD Insurance Group Holdings</t>
  </si>
  <si>
    <t>SAM 94944</t>
  </si>
  <si>
    <t>Aeon Co. Ltd</t>
  </si>
  <si>
    <t>SAM 66100</t>
  </si>
  <si>
    <t>Thomson Reuters Corp</t>
  </si>
  <si>
    <t>SAM 64860</t>
  </si>
  <si>
    <t>JXTG Holdings Inc</t>
  </si>
  <si>
    <t>SAM 95576</t>
  </si>
  <si>
    <t>Hess Corp</t>
  </si>
  <si>
    <t>SAM 92802</t>
  </si>
  <si>
    <t>BOC Hong Kong Holdings</t>
  </si>
  <si>
    <t>SAM 92558</t>
  </si>
  <si>
    <t>Fortune Brands Home</t>
  </si>
  <si>
    <t>SAM 97618</t>
  </si>
  <si>
    <t>Best Buy</t>
  </si>
  <si>
    <t>SAM 91891</t>
  </si>
  <si>
    <t>Beijing Enterprises Hldg</t>
  </si>
  <si>
    <t>SAM 95599</t>
  </si>
  <si>
    <t>Fibra Uno Administracion SA de CV (REIT)</t>
  </si>
  <si>
    <t>SAM 98231</t>
  </si>
  <si>
    <t>Neste Oyj</t>
  </si>
  <si>
    <t>SAM 93528</t>
  </si>
  <si>
    <t>Citrix</t>
  </si>
  <si>
    <t>SAM 913770</t>
  </si>
  <si>
    <t>Restaurant Brands International Inc</t>
  </si>
  <si>
    <t>SAM 98631</t>
  </si>
  <si>
    <t>Repsol SA</t>
  </si>
  <si>
    <t>SAM 52530</t>
  </si>
  <si>
    <t>WPP Plc</t>
  </si>
  <si>
    <t>SAM 97995</t>
  </si>
  <si>
    <t>Canadian Utilities Ltd A</t>
  </si>
  <si>
    <t>SAM 94673</t>
  </si>
  <si>
    <t>Hologic</t>
  </si>
  <si>
    <t>SAM 94803</t>
  </si>
  <si>
    <t>Reinsurance Group of America Inc</t>
  </si>
  <si>
    <t>SAM 99235</t>
  </si>
  <si>
    <t>Masco</t>
  </si>
  <si>
    <t>SAM 53490</t>
  </si>
  <si>
    <t>Continental</t>
  </si>
  <si>
    <t>SAM 92144</t>
  </si>
  <si>
    <t>XPO Logistics Inc</t>
  </si>
  <si>
    <t>SAM 99841</t>
  </si>
  <si>
    <t>Delta Air Lines</t>
  </si>
  <si>
    <t>SAM 58870</t>
  </si>
  <si>
    <t>Axiata Group</t>
  </si>
  <si>
    <t>SAM 96374</t>
  </si>
  <si>
    <t>Hasbro</t>
  </si>
  <si>
    <t>SAM 93345</t>
  </si>
  <si>
    <t>Skandinaviska Enskilda Banken A</t>
  </si>
  <si>
    <t>SAM 57290</t>
  </si>
  <si>
    <t>Nippon Steel Corp</t>
  </si>
  <si>
    <t>SAM 54380</t>
  </si>
  <si>
    <t>SK Telecom</t>
  </si>
  <si>
    <t>SAM 92460</t>
  </si>
  <si>
    <t>Netapp INC</t>
  </si>
  <si>
    <t>SAM 92987</t>
  </si>
  <si>
    <t>Paycom Software Inc</t>
  </si>
  <si>
    <t>SAM 100208</t>
  </si>
  <si>
    <t>Mediobanca SpA</t>
  </si>
  <si>
    <t>SAM 91184</t>
  </si>
  <si>
    <t>Unibail-Rodamco SE &amp; WFD Unibail-Rodamco NV</t>
  </si>
  <si>
    <t>SAM 99828</t>
  </si>
  <si>
    <t>MU</t>
  </si>
  <si>
    <t>United Microelectronics</t>
  </si>
  <si>
    <t>SAM 91886</t>
  </si>
  <si>
    <t>Fortum</t>
  </si>
  <si>
    <t>SAM 92343</t>
  </si>
  <si>
    <t>Thai Oil PCL (foreign shs)</t>
  </si>
  <si>
    <t>SAM 92940</t>
  </si>
  <si>
    <t>Kintetsu Group Holdings Co</t>
  </si>
  <si>
    <t>SAM 91025</t>
  </si>
  <si>
    <t>Cathay Financial Holding Co Ltd</t>
  </si>
  <si>
    <t>SAM 94319</t>
  </si>
  <si>
    <t>Mowi ASA</t>
  </si>
  <si>
    <t>SAM 305410</t>
  </si>
  <si>
    <t>Otsuka Holdings Co LTD</t>
  </si>
  <si>
    <t>SAM 97445</t>
  </si>
  <si>
    <t>Coway Co Ltd</t>
  </si>
  <si>
    <t>SAM 96400</t>
  </si>
  <si>
    <t>Ferrovial SA</t>
  </si>
  <si>
    <t>SAM 93486</t>
  </si>
  <si>
    <t>Bandai Namco Holdings Inc</t>
  </si>
  <si>
    <t>SAM 91661</t>
  </si>
  <si>
    <t>Porsche Automobil Holding SE (pref shs)</t>
  </si>
  <si>
    <t>SAM 92884</t>
  </si>
  <si>
    <t>Essity AB</t>
  </si>
  <si>
    <t>SAM 99430</t>
  </si>
  <si>
    <t>Suzuki Motor</t>
  </si>
  <si>
    <t>SAM 66840</t>
  </si>
  <si>
    <t>Siam Commercial Bank (foreign shs)</t>
  </si>
  <si>
    <t>SAM 97415</t>
  </si>
  <si>
    <t>Garmin LTD</t>
  </si>
  <si>
    <t>SAM 93984</t>
  </si>
  <si>
    <t>Cognex Corp</t>
  </si>
  <si>
    <t>SAM 99549</t>
  </si>
  <si>
    <t>SK Innovation Co Ltd</t>
  </si>
  <si>
    <t>SAM 94684</t>
  </si>
  <si>
    <t>Siemens Healthineers AG</t>
  </si>
  <si>
    <t>SAM 99684</t>
  </si>
  <si>
    <t>Burlington Stores Inc</t>
  </si>
  <si>
    <t>SAM 99988</t>
  </si>
  <si>
    <t>Fresenius Medical Care AG and KGAA</t>
  </si>
  <si>
    <t>SAM 91585</t>
  </si>
  <si>
    <t>Citizens Financial Group Inc</t>
  </si>
  <si>
    <t>SAM 98779</t>
  </si>
  <si>
    <t>M3 INC</t>
  </si>
  <si>
    <t>SAM 98036</t>
  </si>
  <si>
    <t>Richter Gedeon Nyrt</t>
  </si>
  <si>
    <t>SAM 98278</t>
  </si>
  <si>
    <t>Hungary</t>
  </si>
  <si>
    <t>HU</t>
  </si>
  <si>
    <t>HUF</t>
  </si>
  <si>
    <t>CCL Industries Inc</t>
  </si>
  <si>
    <t>SAM 98943</t>
  </si>
  <si>
    <t>Quest Diagnostics</t>
  </si>
  <si>
    <t>SAM 92433</t>
  </si>
  <si>
    <t>Mobile TeleSystems OJSC (ADR)</t>
  </si>
  <si>
    <t>SAM 97028</t>
  </si>
  <si>
    <t>Comerica Inc</t>
  </si>
  <si>
    <t>SAM 92784</t>
  </si>
  <si>
    <t>Align Technology Inc</t>
  </si>
  <si>
    <t>SAM 99234</t>
  </si>
  <si>
    <t>Dai-Ichi Life Holdings, INC</t>
  </si>
  <si>
    <t>SAM 97242</t>
  </si>
  <si>
    <t>Shimano</t>
  </si>
  <si>
    <t>SAM 54790</t>
  </si>
  <si>
    <t>Nomura Holdings</t>
  </si>
  <si>
    <t>SAM 54360</t>
  </si>
  <si>
    <t>CIMB Group Holdings Berhard</t>
  </si>
  <si>
    <t>SAM 91728</t>
  </si>
  <si>
    <t>Telenor</t>
  </si>
  <si>
    <t>SAM 91883</t>
  </si>
  <si>
    <t>Sampo Oyj</t>
  </si>
  <si>
    <t>SAM 61100</t>
  </si>
  <si>
    <t>Delta Electronics</t>
  </si>
  <si>
    <t>SAM 96511</t>
  </si>
  <si>
    <t>Dover</t>
  </si>
  <si>
    <t>SAM 65540</t>
  </si>
  <si>
    <t>Ipsen</t>
  </si>
  <si>
    <t>SAM 95316</t>
  </si>
  <si>
    <t>Cooper Cos</t>
  </si>
  <si>
    <t>SAM 93682</t>
  </si>
  <si>
    <t>Telefonica Brasil SA (pref shs)</t>
  </si>
  <si>
    <t>SAM 97567</t>
  </si>
  <si>
    <t>CBS Corp class B</t>
  </si>
  <si>
    <t>SAM 94028</t>
  </si>
  <si>
    <t>New Oriental Education &amp; Technology Group Inc</t>
  </si>
  <si>
    <t>SAM 98976</t>
  </si>
  <si>
    <t>Regions Financial</t>
  </si>
  <si>
    <t>SAM 92904</t>
  </si>
  <si>
    <t>Huntington Bancshares</t>
  </si>
  <si>
    <t>SAM 92581</t>
  </si>
  <si>
    <t>Check Point Software Technologies Ltd</t>
  </si>
  <si>
    <t>SAM 93983</t>
  </si>
  <si>
    <t>Quanta Computer</t>
  </si>
  <si>
    <t>SAM 92325</t>
  </si>
  <si>
    <t>Groupe Bruxelles Lambert</t>
  </si>
  <si>
    <t>SAM 91097</t>
  </si>
  <si>
    <t>Symantec</t>
  </si>
  <si>
    <t>SAM 92482</t>
  </si>
  <si>
    <t>Samsung Fire  Marine Insurance</t>
  </si>
  <si>
    <t>SAM 96331</t>
  </si>
  <si>
    <t>OWENS CORNING</t>
  </si>
  <si>
    <t>SAM 97433</t>
  </si>
  <si>
    <t>NCsoft Corporation</t>
  </si>
  <si>
    <t>SAM 96284</t>
  </si>
  <si>
    <t>Galaxy Entertainment Group</t>
  </si>
  <si>
    <t>SAM 97559</t>
  </si>
  <si>
    <t>Mahindra &amp; Mahindra</t>
  </si>
  <si>
    <t>SAM 96906</t>
  </si>
  <si>
    <t>Santos</t>
  </si>
  <si>
    <t>SAM 91003</t>
  </si>
  <si>
    <t>Macy's Inc</t>
  </si>
  <si>
    <t>SAM 62030</t>
  </si>
  <si>
    <t>Kasikornbank PCL (foreign shs)</t>
  </si>
  <si>
    <t>SAM 91343</t>
  </si>
  <si>
    <t>Asustek Computer</t>
  </si>
  <si>
    <t>SAM 91735</t>
  </si>
  <si>
    <t>International Flavors &amp; Fragrances Inc</t>
  </si>
  <si>
    <t>SAM 93165</t>
  </si>
  <si>
    <t>Arca Continental SAB de CV</t>
  </si>
  <si>
    <t>SAM 97341</t>
  </si>
  <si>
    <t>DOLLARAMA INC</t>
  </si>
  <si>
    <t>SAM 98058</t>
  </si>
  <si>
    <t>Snap Inc</t>
  </si>
  <si>
    <t>SAM 100220</t>
  </si>
  <si>
    <t>Grupo Financiero Banorte SAB de CV</t>
  </si>
  <si>
    <t>SAM 96305</t>
  </si>
  <si>
    <t>Tenaris</t>
  </si>
  <si>
    <t>SAM 94108</t>
  </si>
  <si>
    <t>Keycorp</t>
  </si>
  <si>
    <t>SAM 91772</t>
  </si>
  <si>
    <t>Japan Post Holdings Co Ltd</t>
  </si>
  <si>
    <t>SAM 98918</t>
  </si>
  <si>
    <t>Jardine Matheson Holdings</t>
  </si>
  <si>
    <t>SAM 92690</t>
  </si>
  <si>
    <t>WW Grainger Inc</t>
  </si>
  <si>
    <t>SAM 93192</t>
  </si>
  <si>
    <t>Computershare</t>
  </si>
  <si>
    <t>SAM 93235</t>
  </si>
  <si>
    <t>Unilever Indonesia</t>
  </si>
  <si>
    <t>SAM 96201</t>
  </si>
  <si>
    <t>Suncorp Group Holding</t>
  </si>
  <si>
    <t>SAM 92311</t>
  </si>
  <si>
    <t>Hankyu Hld</t>
  </si>
  <si>
    <t>SAM 55810</t>
  </si>
  <si>
    <t>Hypermarcas SA</t>
  </si>
  <si>
    <t>SAM 96730</t>
  </si>
  <si>
    <t>TechnipFMC PLC</t>
  </si>
  <si>
    <t>SAM 99577</t>
  </si>
  <si>
    <t>Wipro Ltd</t>
  </si>
  <si>
    <t>SAM 96965</t>
  </si>
  <si>
    <t>Nec Corp</t>
  </si>
  <si>
    <t>SAM 62960</t>
  </si>
  <si>
    <t>S-Oil Corporation</t>
  </si>
  <si>
    <t>SAM 96297</t>
  </si>
  <si>
    <t>Toray Industries</t>
  </si>
  <si>
    <t>SAM 63810</t>
  </si>
  <si>
    <t>Ntt Data</t>
  </si>
  <si>
    <t>SAM 66210</t>
  </si>
  <si>
    <t>First Quantum Minerals</t>
  </si>
  <si>
    <t>SAM 94169</t>
  </si>
  <si>
    <t>Shanghai Pharmaceuticals Holding Co Ltd</t>
  </si>
  <si>
    <t>SAM 97811</t>
  </si>
  <si>
    <t>Ctrip.com International Ltd</t>
  </si>
  <si>
    <t>SAM 98974</t>
  </si>
  <si>
    <t>Standard Bank Group Ltd</t>
  </si>
  <si>
    <t>SAM 97169</t>
  </si>
  <si>
    <t>Exact Sciences Corp</t>
  </si>
  <si>
    <t>SAM 100194</t>
  </si>
  <si>
    <t>China Life Insurance Co</t>
  </si>
  <si>
    <t>SAM 95731</t>
  </si>
  <si>
    <t>ALLIANCE BANK MALAYSIA BHD</t>
  </si>
  <si>
    <t>SAM 96356</t>
  </si>
  <si>
    <t>Varian Medical Systems</t>
  </si>
  <si>
    <t>SAM 93013</t>
  </si>
  <si>
    <t>Catcher Technology Co Ltd</t>
  </si>
  <si>
    <t>SAM 96612</t>
  </si>
  <si>
    <t>DexCom Inc</t>
  </si>
  <si>
    <t>SAM 99240</t>
  </si>
  <si>
    <t>Credicorp Ltd</t>
  </si>
  <si>
    <t>SAM 96899</t>
  </si>
  <si>
    <t>Lindt &amp; Spruengli AG-Reg</t>
  </si>
  <si>
    <t>SAM 95172</t>
  </si>
  <si>
    <t>Severn Trent Water</t>
  </si>
  <si>
    <t>SAM 92028</t>
  </si>
  <si>
    <t>Markel Corp</t>
  </si>
  <si>
    <t>SAM 98947</t>
  </si>
  <si>
    <t>Henry Schein Inc.</t>
  </si>
  <si>
    <t>SAM 95208</t>
  </si>
  <si>
    <t>BCE Inc.</t>
  </si>
  <si>
    <t>SAM 64820</t>
  </si>
  <si>
    <t>Encana Corp</t>
  </si>
  <si>
    <t>SAM 92256</t>
  </si>
  <si>
    <t>Unum Group</t>
  </si>
  <si>
    <t>SAM 91546</t>
  </si>
  <si>
    <t>Broadridge Financial Solutions</t>
  </si>
  <si>
    <t>SAM 94515</t>
  </si>
  <si>
    <t>Celltrion</t>
  </si>
  <si>
    <t>SAM 96295</t>
  </si>
  <si>
    <t>CHENIERE ENERGY INC</t>
  </si>
  <si>
    <t>SAM 98211</t>
  </si>
  <si>
    <t>Cincinnati Finc. Corp</t>
  </si>
  <si>
    <t>SAM 93249</t>
  </si>
  <si>
    <t>On Semiconductor Corporation</t>
  </si>
  <si>
    <t>SAM 94894</t>
  </si>
  <si>
    <t>MTR Corp Ltd</t>
  </si>
  <si>
    <t>SAM 91837</t>
  </si>
  <si>
    <t>Deutsche Wohnen SE</t>
  </si>
  <si>
    <t>SAM 98321</t>
  </si>
  <si>
    <t>Xylem Inc</t>
  </si>
  <si>
    <t>SAM 97636</t>
  </si>
  <si>
    <t>Centurylink Inc</t>
  </si>
  <si>
    <t>SAM 92862</t>
  </si>
  <si>
    <t>Splunk Inc</t>
  </si>
  <si>
    <t>SAM 98814</t>
  </si>
  <si>
    <t>Mirae Asset Daewoo Co Ltd</t>
  </si>
  <si>
    <t>SAM 96327</t>
  </si>
  <si>
    <t>State Bank of India</t>
  </si>
  <si>
    <t>SAM 96935</t>
  </si>
  <si>
    <t>Trend Micro</t>
  </si>
  <si>
    <t>SAM 91898</t>
  </si>
  <si>
    <t>Ageas (BE)</t>
  </si>
  <si>
    <t>SAM 91153</t>
  </si>
  <si>
    <t>TOURMALINE OIL CORP</t>
  </si>
  <si>
    <t>SAM 97805</t>
  </si>
  <si>
    <t>TDK Corp</t>
  </si>
  <si>
    <t>SAM 92349</t>
  </si>
  <si>
    <t>Japan Real Estate Investment Corp (REIT)</t>
  </si>
  <si>
    <t>SAM 93357</t>
  </si>
  <si>
    <t>Agnico</t>
  </si>
  <si>
    <t>SAM 93299</t>
  </si>
  <si>
    <t>LG Display Co Ltd</t>
  </si>
  <si>
    <t>SAM 92929</t>
  </si>
  <si>
    <t>SAM 100271</t>
  </si>
  <si>
    <t>DCC PLC</t>
  </si>
  <si>
    <t>SAM 99099</t>
  </si>
  <si>
    <t>RioCan Real Estate Investment Trust (REIT)</t>
  </si>
  <si>
    <t>SAM 94672</t>
  </si>
  <si>
    <t>Maruti Suzuki India Ltd</t>
  </si>
  <si>
    <t>SAM 96907</t>
  </si>
  <si>
    <t>Gjensidige Forsikring ASA</t>
  </si>
  <si>
    <t>SAM 97413</t>
  </si>
  <si>
    <t>Sompo Holdings Inc</t>
  </si>
  <si>
    <t>SAM 95577</t>
  </si>
  <si>
    <t>VODACOM GROUP</t>
  </si>
  <si>
    <t>SAM 97174</t>
  </si>
  <si>
    <t>Incyte Corp</t>
  </si>
  <si>
    <t>SAM 98592</t>
  </si>
  <si>
    <t>Carmax</t>
  </si>
  <si>
    <t>SAM 93261</t>
  </si>
  <si>
    <t>Sun Pharmaceutical Indus</t>
  </si>
  <si>
    <t>SAM 96943</t>
  </si>
  <si>
    <t>Covestro AG</t>
  </si>
  <si>
    <t>SAM 99064</t>
  </si>
  <si>
    <t>GVC Holdings PLC</t>
  </si>
  <si>
    <t>SAM 99681</t>
  </si>
  <si>
    <t>Isle of Man</t>
  </si>
  <si>
    <t>IM</t>
  </si>
  <si>
    <t>Hana Financial Holdings</t>
  </si>
  <si>
    <t>SAM 96380</t>
  </si>
  <si>
    <t>Koc Holding AS</t>
  </si>
  <si>
    <t>SAM 97102</t>
  </si>
  <si>
    <t>Turkey</t>
  </si>
  <si>
    <t>TR</t>
  </si>
  <si>
    <t>Amada Holdings Co</t>
  </si>
  <si>
    <t>SAM 93293</t>
  </si>
  <si>
    <t>KBC GROEP NV</t>
  </si>
  <si>
    <t>SAM 91156</t>
  </si>
  <si>
    <t>Associated British Foods</t>
  </si>
  <si>
    <t>SAM 91213</t>
  </si>
  <si>
    <t>AU Optronics Corp</t>
  </si>
  <si>
    <t>SAM 94322</t>
  </si>
  <si>
    <t>Old Mutual Ltd</t>
  </si>
  <si>
    <t>SAM 99901</t>
  </si>
  <si>
    <t>Axel Springer SE</t>
  </si>
  <si>
    <t>SAM 100320</t>
  </si>
  <si>
    <t>Tobu Railway</t>
  </si>
  <si>
    <t>SAM 61710</t>
  </si>
  <si>
    <t>Innogy SE</t>
  </si>
  <si>
    <t>SAM 99173</t>
  </si>
  <si>
    <t>Mosaic Co</t>
  </si>
  <si>
    <t>SAM 94670</t>
  </si>
  <si>
    <t>Telstra Corp</t>
  </si>
  <si>
    <t>SAM 67590</t>
  </si>
  <si>
    <t>Dai Nippon Printing</t>
  </si>
  <si>
    <t>SAM 61700</t>
  </si>
  <si>
    <t>Hyundai Steel Co</t>
  </si>
  <si>
    <t>SAM 96429</t>
  </si>
  <si>
    <t>ASX Ltd</t>
  </si>
  <si>
    <t>SAM 92094</t>
  </si>
  <si>
    <t>Citic Pacific</t>
  </si>
  <si>
    <t>SAM 55830</t>
  </si>
  <si>
    <t>Nippon Building Fund Inc (REIT)</t>
  </si>
  <si>
    <t>SAM 93105</t>
  </si>
  <si>
    <t>Chubu Electric Power</t>
  </si>
  <si>
    <t>SAM 93253</t>
  </si>
  <si>
    <t>Daito Trust Const</t>
  </si>
  <si>
    <t>SAM 50900</t>
  </si>
  <si>
    <t>CH Robinson Worldwide Inc</t>
  </si>
  <si>
    <t>SAM 94331</t>
  </si>
  <si>
    <t>Mitsubishi Chemical Holdings</t>
  </si>
  <si>
    <t>SAM 91010</t>
  </si>
  <si>
    <t>Marvell Technology Group</t>
  </si>
  <si>
    <t>SAM 93370</t>
  </si>
  <si>
    <t>Westlake Chemical Corp</t>
  </si>
  <si>
    <t>SAM 98459</t>
  </si>
  <si>
    <t>Coloplast B</t>
  </si>
  <si>
    <t>SAM 97989</t>
  </si>
  <si>
    <t>Roku Inc</t>
  </si>
  <si>
    <t>SAM 100547</t>
  </si>
  <si>
    <t>Voestalpine</t>
  </si>
  <si>
    <t>SAM 92996</t>
  </si>
  <si>
    <t>Austria</t>
  </si>
  <si>
    <t>AT</t>
  </si>
  <si>
    <t>Bunge</t>
  </si>
  <si>
    <t>SAM 93689</t>
  </si>
  <si>
    <t>MGM Resorts international</t>
  </si>
  <si>
    <t>SAM 93665</t>
  </si>
  <si>
    <t>Ulta Beauty Inc</t>
  </si>
  <si>
    <t>SAM 99288</t>
  </si>
  <si>
    <t>HollyFrontier Corp</t>
  </si>
  <si>
    <t>SAM 97598</t>
  </si>
  <si>
    <t>Faurecia</t>
  </si>
  <si>
    <t>SAM 93839</t>
  </si>
  <si>
    <t>CNH Industrial NV</t>
  </si>
  <si>
    <t>SAM 98311</t>
  </si>
  <si>
    <t>Cia Brasileira de Distribuicao (pref shs)</t>
  </si>
  <si>
    <t>SAM 97524</t>
  </si>
  <si>
    <t>Dentsply Sirona Inc</t>
  </si>
  <si>
    <t>SAM 93680</t>
  </si>
  <si>
    <t>Bouygues</t>
  </si>
  <si>
    <t>SAM 91090</t>
  </si>
  <si>
    <t>NVR Inc</t>
  </si>
  <si>
    <t>SAM 93661</t>
  </si>
  <si>
    <t>Saputo</t>
  </si>
  <si>
    <t>SAM 93570</t>
  </si>
  <si>
    <t>Genmab</t>
  </si>
  <si>
    <t>SAM 94140</t>
  </si>
  <si>
    <t>Ionis Pharmaceuticals Inc</t>
  </si>
  <si>
    <t>SAM 98726</t>
  </si>
  <si>
    <t>Woori Financial Group Inc</t>
  </si>
  <si>
    <t>SAM 100077</t>
  </si>
  <si>
    <t>Aristocrat Leisure</t>
  </si>
  <si>
    <t>SAM 92050</t>
  </si>
  <si>
    <t>George Weston Ltd</t>
  </si>
  <si>
    <t>SAM 92051</t>
  </si>
  <si>
    <t>Svenska Handelsbanken A</t>
  </si>
  <si>
    <t>SAM 55530</t>
  </si>
  <si>
    <t>Domino's Pizza Inc</t>
  </si>
  <si>
    <t>SAM 99083</t>
  </si>
  <si>
    <t>Stmicroelectronics</t>
  </si>
  <si>
    <t>SAM 91535</t>
  </si>
  <si>
    <t>Okta Inc</t>
  </si>
  <si>
    <t>SAM 100219</t>
  </si>
  <si>
    <t>Tokyo Gas</t>
  </si>
  <si>
    <t>SAM 66060</t>
  </si>
  <si>
    <t>Akamai Technologies</t>
  </si>
  <si>
    <t>SAM 91422</t>
  </si>
  <si>
    <t>Techtronic Industries</t>
  </si>
  <si>
    <t>SAM 93417</t>
  </si>
  <si>
    <t>Meiji Holdings Co LTD</t>
  </si>
  <si>
    <t>SAM 95345</t>
  </si>
  <si>
    <t>Orkla</t>
  </si>
  <si>
    <t>SAM 373380</t>
  </si>
  <si>
    <t>Suntory Beverage &amp; Food Ltd</t>
  </si>
  <si>
    <t>SAM 98275</t>
  </si>
  <si>
    <t>Pinduoduo Inc</t>
  </si>
  <si>
    <t>SAM 100091</t>
  </si>
  <si>
    <t>Sands China Ltd</t>
  </si>
  <si>
    <t>SAM 95505</t>
  </si>
  <si>
    <t>Lincoln National Corp</t>
  </si>
  <si>
    <t>SAM 92780</t>
  </si>
  <si>
    <t>Nisshin Seifun Group</t>
  </si>
  <si>
    <t>SAM 92671</t>
  </si>
  <si>
    <t>Edenred</t>
  </si>
  <si>
    <t>SAM 97272</t>
  </si>
  <si>
    <t>Gecina SA (REIT)</t>
  </si>
  <si>
    <t>SAM 92663</t>
  </si>
  <si>
    <t>Nestle India Ltd</t>
  </si>
  <si>
    <t>SAM 98345</t>
  </si>
  <si>
    <t>Telia Co AB</t>
  </si>
  <si>
    <t>SAM 91734</t>
  </si>
  <si>
    <t>Alexandria Real Estate Equities Inc</t>
  </si>
  <si>
    <t>SAM 99081</t>
  </si>
  <si>
    <t>Kikkoman</t>
  </si>
  <si>
    <t>SAM 54070</t>
  </si>
  <si>
    <t>Christian Hansen Holding A/S</t>
  </si>
  <si>
    <t>SAM 97454</t>
  </si>
  <si>
    <t>Mondi Plc</t>
  </si>
  <si>
    <t>SAM 94654</t>
  </si>
  <si>
    <t>Acs Actividades Cons Y Serv</t>
  </si>
  <si>
    <t>SAM 92573</t>
  </si>
  <si>
    <t>Alfa Sab De CV</t>
  </si>
  <si>
    <t>SAM 96280</t>
  </si>
  <si>
    <t>Skyworks Solutions Inc</t>
  </si>
  <si>
    <t>SAM 94716</t>
  </si>
  <si>
    <t>Sirius XM Holdings Inc</t>
  </si>
  <si>
    <t>SAM 93601</t>
  </si>
  <si>
    <t>AerCap Holdings NV</t>
  </si>
  <si>
    <t>SAM 98753</t>
  </si>
  <si>
    <t>Eisai</t>
  </si>
  <si>
    <t>SAM 91013</t>
  </si>
  <si>
    <t>FNF Group</t>
  </si>
  <si>
    <t>SAM 98508</t>
  </si>
  <si>
    <t>Agricultural Bank China - H</t>
  </si>
  <si>
    <t>SAM 97389</t>
  </si>
  <si>
    <t>Erste Group Bank AG</t>
  </si>
  <si>
    <t>SAM 93004</t>
  </si>
  <si>
    <t>CBRE Group Inc</t>
  </si>
  <si>
    <t>SAM 94233</t>
  </si>
  <si>
    <t>Campbell Soup</t>
  </si>
  <si>
    <t>SAM 64320</t>
  </si>
  <si>
    <t>Vail Resorts Inc</t>
  </si>
  <si>
    <t>SAM 99413</t>
  </si>
  <si>
    <t>F5 Networks Inc</t>
  </si>
  <si>
    <t>SAM 94699</t>
  </si>
  <si>
    <t>3I Group</t>
  </si>
  <si>
    <t>SAM 91466</t>
  </si>
  <si>
    <t>FMC Corp</t>
  </si>
  <si>
    <t>SAM 95410</t>
  </si>
  <si>
    <t>EXOR NV</t>
  </si>
  <si>
    <t>SAM 99256</t>
  </si>
  <si>
    <t>Persimmon</t>
  </si>
  <si>
    <t>SAM 93085</t>
  </si>
  <si>
    <t>Taisei</t>
  </si>
  <si>
    <t>SAM 61610</t>
  </si>
  <si>
    <t>CHINA ZHONGWANG HOLDINGS</t>
  </si>
  <si>
    <t>SAM 95948</t>
  </si>
  <si>
    <t>Arista Networks Inc</t>
  </si>
  <si>
    <t>SAM 99409</t>
  </si>
  <si>
    <t>Polski Koncern Naftowy Orlen</t>
  </si>
  <si>
    <t>SAM 97120</t>
  </si>
  <si>
    <t>Poland</t>
  </si>
  <si>
    <t>PL</t>
  </si>
  <si>
    <t>Coca-Cola HBC AG (GBP)</t>
  </si>
  <si>
    <t>SAM 98190</t>
  </si>
  <si>
    <t>BRF SA</t>
  </si>
  <si>
    <t>SAM 96664</t>
  </si>
  <si>
    <t>Fox Corp</t>
  </si>
  <si>
    <t>SAM 100100</t>
  </si>
  <si>
    <t>United Rentals Inc</t>
  </si>
  <si>
    <t>SAM 98455</t>
  </si>
  <si>
    <t>Steel Dynamics Inc</t>
  </si>
  <si>
    <t>SAM 99424</t>
  </si>
  <si>
    <t>OTP Bank</t>
  </si>
  <si>
    <t>SAM 96818</t>
  </si>
  <si>
    <t>Julius Baer Holding Reg</t>
  </si>
  <si>
    <t>SAM 95448</t>
  </si>
  <si>
    <t>Asahi Kasei Corporation</t>
  </si>
  <si>
    <t>SAM 57270</t>
  </si>
  <si>
    <t>Toyota Industries</t>
  </si>
  <si>
    <t>SAM 66450</t>
  </si>
  <si>
    <t>QBE Insurance Group</t>
  </si>
  <si>
    <t>SAM 92069</t>
  </si>
  <si>
    <t>LIXIL Group Corp</t>
  </si>
  <si>
    <t>SAM 61580</t>
  </si>
  <si>
    <t>Vermilion Energy I</t>
  </si>
  <si>
    <t>SAM 95394</t>
  </si>
  <si>
    <t>Sumitomo Mitsui Trust Holdings</t>
  </si>
  <si>
    <t>SAM 93252</t>
  </si>
  <si>
    <t>Federal Realty Investment Trust (REIT)</t>
  </si>
  <si>
    <t>SAM 94260</t>
  </si>
  <si>
    <t>Bunzl Plc</t>
  </si>
  <si>
    <t>SAM 92572</t>
  </si>
  <si>
    <t>BIOMARIN PHARMACEUTICAL INC</t>
  </si>
  <si>
    <t>SAM 98209</t>
  </si>
  <si>
    <t>A.P Moeller - Maersk A/S</t>
  </si>
  <si>
    <t>SAM 50891</t>
  </si>
  <si>
    <t>Japan Exchange Group Inc</t>
  </si>
  <si>
    <t>SAM 98035</t>
  </si>
  <si>
    <t>China Telecom Corp</t>
  </si>
  <si>
    <t>SAM 95908</t>
  </si>
  <si>
    <t>Canadian Tire Corp Ltd</t>
  </si>
  <si>
    <t>SAM 92773</t>
  </si>
  <si>
    <t>Samsung SDS Co Ltd</t>
  </si>
  <si>
    <t>SAM 98588</t>
  </si>
  <si>
    <t>CK Infrastructure Holdings Ltd</t>
  </si>
  <si>
    <t>SAM 93254</t>
  </si>
  <si>
    <t>CHINA RESOURCES LAND</t>
  </si>
  <si>
    <t>SAM 95670</t>
  </si>
  <si>
    <t>SYSMEX Corporation</t>
  </si>
  <si>
    <t>SAM 97693</t>
  </si>
  <si>
    <t>Weir Group Plc</t>
  </si>
  <si>
    <t>SAM 94728</t>
  </si>
  <si>
    <t>Johnson Matthey</t>
  </si>
  <si>
    <t>SAM 92430</t>
  </si>
  <si>
    <t>Guangdong Investment</t>
  </si>
  <si>
    <t>SAM 93443</t>
  </si>
  <si>
    <t>Ashtead Group PLC</t>
  </si>
  <si>
    <t>SAM 98594</t>
  </si>
  <si>
    <t>KANSAS CITY SOUTHERN</t>
  </si>
  <si>
    <t>SAM 97861</t>
  </si>
  <si>
    <t>Vmware Inc - Class A</t>
  </si>
  <si>
    <t>SAM 94690</t>
  </si>
  <si>
    <t>Coca-Cola Amatil</t>
  </si>
  <si>
    <t>SAM 63930</t>
  </si>
  <si>
    <t>Wilmar Intl Ltd</t>
  </si>
  <si>
    <t>SAM 94958</t>
  </si>
  <si>
    <t>Titan Co Ltd</t>
  </si>
  <si>
    <t>SAM 97634</t>
  </si>
  <si>
    <t>Grifols SA</t>
  </si>
  <si>
    <t>SAM 95059</t>
  </si>
  <si>
    <t>TD Ameritrade</t>
  </si>
  <si>
    <t>SAM 94801</t>
  </si>
  <si>
    <t>Royal Bank of Scotland</t>
  </si>
  <si>
    <t>SAM 91532</t>
  </si>
  <si>
    <t>Next</t>
  </si>
  <si>
    <t>SAM 66630</t>
  </si>
  <si>
    <t>Devon Energy</t>
  </si>
  <si>
    <t>SAM 92131</t>
  </si>
  <si>
    <t>J Sainsbury PLC</t>
  </si>
  <si>
    <t>SAM 59010</t>
  </si>
  <si>
    <t>Samsung Biologics Co Ltd</t>
  </si>
  <si>
    <t>SAM 99231</t>
  </si>
  <si>
    <t>Sekisui Chemical</t>
  </si>
  <si>
    <t>SAM 57790</t>
  </si>
  <si>
    <t>Western Union Co/The</t>
  </si>
  <si>
    <t>SAM 94353</t>
  </si>
  <si>
    <t>Magazine Luiza SA</t>
  </si>
  <si>
    <t>SAM 99857</t>
  </si>
  <si>
    <t>Angang Steel Company Limited</t>
  </si>
  <si>
    <t>SAM 93797</t>
  </si>
  <si>
    <t>Sunac China Holdings Ltd</t>
  </si>
  <si>
    <t>SAM 98811</t>
  </si>
  <si>
    <t>Telus Corp</t>
  </si>
  <si>
    <t>SAM 95267</t>
  </si>
  <si>
    <t>Nedbank Group</t>
  </si>
  <si>
    <t>SAM 95473</t>
  </si>
  <si>
    <t>CF Industries Holdings Inc</t>
  </si>
  <si>
    <t>SAM 95005</t>
  </si>
  <si>
    <t>Land Securities Group PLC (REIT)</t>
  </si>
  <si>
    <t>SAM 65990</t>
  </si>
  <si>
    <t>China Mengniu Dairy Co</t>
  </si>
  <si>
    <t>SAM 95741</t>
  </si>
  <si>
    <t>TOTO Ltd</t>
  </si>
  <si>
    <t>SAM 91031</t>
  </si>
  <si>
    <t>Norwegian Cruise Line Holdings Ltd</t>
  </si>
  <si>
    <t>SAM 98612</t>
  </si>
  <si>
    <t>Lamb Weston Holdings Inc</t>
  </si>
  <si>
    <t>SAM 99186</t>
  </si>
  <si>
    <t>Whirlpool Corp</t>
  </si>
  <si>
    <t>SAM 64700</t>
  </si>
  <si>
    <t>Sage Group PLC</t>
  </si>
  <si>
    <t>SAM 98249</t>
  </si>
  <si>
    <t>Liberty SiriusXM Group SERIES C</t>
  </si>
  <si>
    <t>SAM 99036</t>
  </si>
  <si>
    <t>Sino Biopharmaceutical Ltd</t>
  </si>
  <si>
    <t>SAM 98219</t>
  </si>
  <si>
    <t>DAVITA INC</t>
  </si>
  <si>
    <t>SAM 93679</t>
  </si>
  <si>
    <t>Novozymes A/S (B shs)</t>
  </si>
  <si>
    <t>SAM 91871</t>
  </si>
  <si>
    <t>Skanska B</t>
  </si>
  <si>
    <t>SAM 56422</t>
  </si>
  <si>
    <t>ZTO Express Cayman Inc</t>
  </si>
  <si>
    <t>SAM 100090</t>
  </si>
  <si>
    <t>Atlantia SPA</t>
  </si>
  <si>
    <t>SAM 91893</t>
  </si>
  <si>
    <t>Tata Steel</t>
  </si>
  <si>
    <t>SAM 96953</t>
  </si>
  <si>
    <t>Chailease Holding Co Ltd</t>
  </si>
  <si>
    <t>SAM 98054</t>
  </si>
  <si>
    <t>Host Hotels &amp; Resorts Inc (REIT)</t>
  </si>
  <si>
    <t>SAM 93170</t>
  </si>
  <si>
    <t>Nasdaq Inc</t>
  </si>
  <si>
    <t>SAM 94109</t>
  </si>
  <si>
    <t>Henderson Land</t>
  </si>
  <si>
    <t>SAM 91436</t>
  </si>
  <si>
    <t>WestRock Co</t>
  </si>
  <si>
    <t>SAM 98849</t>
  </si>
  <si>
    <t>EXPEDITORS</t>
  </si>
  <si>
    <t>SAM 93332</t>
  </si>
  <si>
    <t>Mylan NV</t>
  </si>
  <si>
    <t>SAM 92699</t>
  </si>
  <si>
    <t>Powszechna Kasa Oszczednosci Bank Polski SA</t>
  </si>
  <si>
    <t>SAM 97107</t>
  </si>
  <si>
    <t>Jazz Pharmaceuticals Plc</t>
  </si>
  <si>
    <t>SAM 97610</t>
  </si>
  <si>
    <t>ATCO Ltd.</t>
  </si>
  <si>
    <t>SAM 98243</t>
  </si>
  <si>
    <t>MTN Group Ltd</t>
  </si>
  <si>
    <t>SAM 97199</t>
  </si>
  <si>
    <t>Hydro One Ltd</t>
  </si>
  <si>
    <t>SAM 99069</t>
  </si>
  <si>
    <t>CBOE Global  Markets INC.</t>
  </si>
  <si>
    <t>SAM 99423</t>
  </si>
  <si>
    <t>Tiffany &amp; Co</t>
  </si>
  <si>
    <t>SAM 93030</t>
  </si>
  <si>
    <t>FAR EASTONE TELECOM. CO</t>
  </si>
  <si>
    <t>SAM 96541</t>
  </si>
  <si>
    <t>IPG Photonics Corp</t>
  </si>
  <si>
    <t>SAM 94416</t>
  </si>
  <si>
    <t>Millicom International Cellular SA (SDR)</t>
  </si>
  <si>
    <t>SAM 94007</t>
  </si>
  <si>
    <t>Kansai Elec Power</t>
  </si>
  <si>
    <t>SAM 55130</t>
  </si>
  <si>
    <t>Genting Malaysia</t>
  </si>
  <si>
    <t>SAM 91729</t>
  </si>
  <si>
    <t>China Pacific Insurance Gr H</t>
  </si>
  <si>
    <t>SAM 95625</t>
  </si>
  <si>
    <t>Omron</t>
  </si>
  <si>
    <t>SAM 91645</t>
  </si>
  <si>
    <t>Hongkong Land Holdings</t>
  </si>
  <si>
    <t>SAM 92908</t>
  </si>
  <si>
    <t>Rakuten</t>
  </si>
  <si>
    <t>SAM 93399</t>
  </si>
  <si>
    <t>WM Morrison Supermarkets PLC</t>
  </si>
  <si>
    <t>SAM 92815</t>
  </si>
  <si>
    <t>Ultrapar Participacoes SA SHS</t>
  </si>
  <si>
    <t>SAM 97604</t>
  </si>
  <si>
    <t>Schroders</t>
  </si>
  <si>
    <t>SAM 92645</t>
  </si>
  <si>
    <t>Brenntag AG</t>
  </si>
  <si>
    <t>SAM 97539</t>
  </si>
  <si>
    <t>Amorepacific Corp</t>
  </si>
  <si>
    <t>SAM 96293</t>
  </si>
  <si>
    <t>Assurant</t>
  </si>
  <si>
    <t>SAM 92742</t>
  </si>
  <si>
    <t>Japan Airlines Co Ltd</t>
  </si>
  <si>
    <t>SAM 98045</t>
  </si>
  <si>
    <t>EPAM Systems Inc</t>
  </si>
  <si>
    <t>SAM 100212</t>
  </si>
  <si>
    <t>HUA NAN FINANCIAL HLDGS</t>
  </si>
  <si>
    <t>SAM 96574</t>
  </si>
  <si>
    <t>West Japan Railway</t>
  </si>
  <si>
    <t>SAM 92714</t>
  </si>
  <si>
    <t>Apache Corp</t>
  </si>
  <si>
    <t>SAM 92389</t>
  </si>
  <si>
    <t>Marui Group Co Ltd</t>
  </si>
  <si>
    <t>SAM 58090</t>
  </si>
  <si>
    <t>Samsung Life Insurance Co</t>
  </si>
  <si>
    <t>SAM 97366</t>
  </si>
  <si>
    <t>Intercontinental Hotels Group PLC</t>
  </si>
  <si>
    <t>SAM 97961</t>
  </si>
  <si>
    <t>Lear Corp</t>
  </si>
  <si>
    <t>SAM 92832</t>
  </si>
  <si>
    <t>Sodexo</t>
  </si>
  <si>
    <t>SAM 91106</t>
  </si>
  <si>
    <t>Discovery Inc - A</t>
  </si>
  <si>
    <t>SAM 95084</t>
  </si>
  <si>
    <t>Sunny Optical Technology Group Co Ltd</t>
  </si>
  <si>
    <t>SAM 99253</t>
  </si>
  <si>
    <t>Remgro Ltd</t>
  </si>
  <si>
    <t>SAM 97162</t>
  </si>
  <si>
    <t>Nitori Holdings</t>
  </si>
  <si>
    <t>SAM 92949</t>
  </si>
  <si>
    <t>Snam SPA</t>
  </si>
  <si>
    <t>SAM 92351</t>
  </si>
  <si>
    <t>Carrefour</t>
  </si>
  <si>
    <t>SAM 54500</t>
  </si>
  <si>
    <t>Anta Sports Products Ltd</t>
  </si>
  <si>
    <t>SAM 95722</t>
  </si>
  <si>
    <t>Wynn Resorts</t>
  </si>
  <si>
    <t>SAM 93589</t>
  </si>
  <si>
    <t>Amerisourcebergen</t>
  </si>
  <si>
    <t>SAM 93290</t>
  </si>
  <si>
    <t>Osaka Gas</t>
  </si>
  <si>
    <t>SAM 91021</t>
  </si>
  <si>
    <t>Vornado Realty Trust (REIT)</t>
  </si>
  <si>
    <t>SAM 92587</t>
  </si>
  <si>
    <t>New World Development</t>
  </si>
  <si>
    <t>SAM 60500</t>
  </si>
  <si>
    <t>Veolia Environment</t>
  </si>
  <si>
    <t>SAM 92437</t>
  </si>
  <si>
    <t>Sumitomo Electric</t>
  </si>
  <si>
    <t>SAM 62690</t>
  </si>
  <si>
    <t>Barratt Developments Plc</t>
  </si>
  <si>
    <t>SAM 92643</t>
  </si>
  <si>
    <t>Lennar Corp-CL A</t>
  </si>
  <si>
    <t>SAM 93367</t>
  </si>
  <si>
    <t>Vicinity Centres</t>
  </si>
  <si>
    <t>SAM 93757</t>
  </si>
  <si>
    <t>Oil Search Ltd</t>
  </si>
  <si>
    <t>SAM 95178</t>
  </si>
  <si>
    <t>Papua New Guinea</t>
  </si>
  <si>
    <t>PG</t>
  </si>
  <si>
    <t>Delivery Hero AG</t>
  </si>
  <si>
    <t>SAM 99745</t>
  </si>
  <si>
    <t>Perusahaan Gas Negara Tbk</t>
  </si>
  <si>
    <t>SAM 92705</t>
  </si>
  <si>
    <t>Cobham</t>
  </si>
  <si>
    <t>SAM 93242</t>
  </si>
  <si>
    <t>Makita Corp</t>
  </si>
  <si>
    <t>SAM 93131</t>
  </si>
  <si>
    <t>Gildan Activewear</t>
  </si>
  <si>
    <t>SAM 93571</t>
  </si>
  <si>
    <t>ABIOMED Inc</t>
  </si>
  <si>
    <t>SAM 99800</t>
  </si>
  <si>
    <t>Dentsu</t>
  </si>
  <si>
    <t>SAM 93222</t>
  </si>
  <si>
    <t>Melrose Industries PLC</t>
  </si>
  <si>
    <t>SAM 98920</t>
  </si>
  <si>
    <t>Eicher Motors Ltd</t>
  </si>
  <si>
    <t>SAM 98792</t>
  </si>
  <si>
    <t>NEXON CO LTD</t>
  </si>
  <si>
    <t>SAM 97875</t>
  </si>
  <si>
    <t>Alfa Laval</t>
  </si>
  <si>
    <t>SAM 92562</t>
  </si>
  <si>
    <t>Maruichi Steel Tube Ltd</t>
  </si>
  <si>
    <t>SAM 95214</t>
  </si>
  <si>
    <t>Hexagon B SEK</t>
  </si>
  <si>
    <t>SAM 59822</t>
  </si>
  <si>
    <t>Adecco Group AG</t>
  </si>
  <si>
    <t>SAM 91085</t>
  </si>
  <si>
    <t>Danske Bank A/S</t>
  </si>
  <si>
    <t>SAM 54910</t>
  </si>
  <si>
    <t>Power Financial Corp</t>
  </si>
  <si>
    <t>SAM 93082</t>
  </si>
  <si>
    <t>VIFOR PHARMA AG</t>
  </si>
  <si>
    <t>SAM 98942</t>
  </si>
  <si>
    <t>Burberry Group</t>
  </si>
  <si>
    <t>SAM 93894</t>
  </si>
  <si>
    <t>Cielo</t>
  </si>
  <si>
    <t>SAM 96682</t>
  </si>
  <si>
    <t>China Oilfield Services</t>
  </si>
  <si>
    <t>SAM 92362</t>
  </si>
  <si>
    <t>Packaging Corp of America</t>
  </si>
  <si>
    <t>SAM 93565</t>
  </si>
  <si>
    <t>China Molybdenum Co Ltd</t>
  </si>
  <si>
    <t>SAM 99559</t>
  </si>
  <si>
    <t>Coles Group Ltd</t>
  </si>
  <si>
    <t>SAM 99985</t>
  </si>
  <si>
    <t>Sarepta Therapeutics Inc</t>
  </si>
  <si>
    <t>SAM 100541</t>
  </si>
  <si>
    <t>GETLINK</t>
  </si>
  <si>
    <t>SAM 95516</t>
  </si>
  <si>
    <t>CHINA GAS HOLDINGS LTD</t>
  </si>
  <si>
    <t>SAM 97800</t>
  </si>
  <si>
    <t>Alnylam Pharmaceuticals Inc</t>
  </si>
  <si>
    <t>SAM 98789</t>
  </si>
  <si>
    <t>Sumitomo Chemical</t>
  </si>
  <si>
    <t>SAM 66530</t>
  </si>
  <si>
    <t>Gruma SAB de CV</t>
  </si>
  <si>
    <t>SAM 98453</t>
  </si>
  <si>
    <t>Hyundai Robotics Co Ltd</t>
  </si>
  <si>
    <t>SAM 99367</t>
  </si>
  <si>
    <t>Standard Life PLC</t>
  </si>
  <si>
    <t>SAM 94326</t>
  </si>
  <si>
    <t>Kobayashi Pharmaceutical Co Ltd</t>
  </si>
  <si>
    <t>SAM 99801</t>
  </si>
  <si>
    <t>E Trade Financial Corp</t>
  </si>
  <si>
    <t>SAM 93990</t>
  </si>
  <si>
    <t>KGHM Polska Miedz S.A.</t>
  </si>
  <si>
    <t>SAM 94041</t>
  </si>
  <si>
    <t>Nitto Denko</t>
  </si>
  <si>
    <t>SAM 91647</t>
  </si>
  <si>
    <t>Great West Lifeco</t>
  </si>
  <si>
    <t>SAM 93341</t>
  </si>
  <si>
    <t>WH Group Ltd</t>
  </si>
  <si>
    <t>SAM 98587</t>
  </si>
  <si>
    <t>Noble Energy</t>
  </si>
  <si>
    <t>SAM 93664</t>
  </si>
  <si>
    <t>Autoliv Inc</t>
  </si>
  <si>
    <t>SAM 95507</t>
  </si>
  <si>
    <t>United Utilities Water PLC</t>
  </si>
  <si>
    <t>SAM 60430</t>
  </si>
  <si>
    <t>Accor</t>
  </si>
  <si>
    <t>SAM 52990</t>
  </si>
  <si>
    <t>Toyo Suisan Kaisha</t>
  </si>
  <si>
    <t>SAM 93024</t>
  </si>
  <si>
    <t>Elanco Animal Health Inc</t>
  </si>
  <si>
    <t>SAM 100096</t>
  </si>
  <si>
    <t>ENN Energy Holdings Ltd</t>
  </si>
  <si>
    <t>SAM 96086</t>
  </si>
  <si>
    <t>Liberty Global PLC (C shs)</t>
  </si>
  <si>
    <t>SAM 93766</t>
  </si>
  <si>
    <t>Whitbread</t>
  </si>
  <si>
    <t>SAM 63100</t>
  </si>
  <si>
    <t>Shinsei Bank</t>
  </si>
  <si>
    <t>SAM 93411</t>
  </si>
  <si>
    <t>Orica Ltd</t>
  </si>
  <si>
    <t>SAM 91001</t>
  </si>
  <si>
    <t>Yageo Corporation</t>
  </si>
  <si>
    <t>SAM 91997</t>
  </si>
  <si>
    <t>Centrica</t>
  </si>
  <si>
    <t>SAM 65770</t>
  </si>
  <si>
    <t>Suez</t>
  </si>
  <si>
    <t>SAM 95034</t>
  </si>
  <si>
    <t>Acuity Brands Inc</t>
  </si>
  <si>
    <t>SAM 98785</t>
  </si>
  <si>
    <t>Bezeq Israeli Telecom</t>
  </si>
  <si>
    <t>SAM 96837</t>
  </si>
  <si>
    <t>Epiroc AB</t>
  </si>
  <si>
    <t>SAM 99888</t>
  </si>
  <si>
    <t>Evonik Industries AG</t>
  </si>
  <si>
    <t>SAM 98806</t>
  </si>
  <si>
    <t>Suzano Papel e Celulose SA</t>
  </si>
  <si>
    <t>SAM 99518</t>
  </si>
  <si>
    <t>NEPI Rockcastle PLC</t>
  </si>
  <si>
    <t>SAM 99446</t>
  </si>
  <si>
    <t>Carnival GBP</t>
  </si>
  <si>
    <t>SAM 91854</t>
  </si>
  <si>
    <t>Sealed Air</t>
  </si>
  <si>
    <t>SAM 92075</t>
  </si>
  <si>
    <t>Obayashi</t>
  </si>
  <si>
    <t>SAM 54050</t>
  </si>
  <si>
    <t>Viacom INC ClassB</t>
  </si>
  <si>
    <t>SAM 94027</t>
  </si>
  <si>
    <t>Inpex Holdings Inc</t>
  </si>
  <si>
    <t>SAM 94090</t>
  </si>
  <si>
    <t>Juniper Networks</t>
  </si>
  <si>
    <t>SAM 91857</t>
  </si>
  <si>
    <t>Caixabank</t>
  </si>
  <si>
    <t>SAM 94945</t>
  </si>
  <si>
    <t>Adyen NV</t>
  </si>
  <si>
    <t>SAM 100088</t>
  </si>
  <si>
    <t>Sydney Airport</t>
  </si>
  <si>
    <t>SAM 93576</t>
  </si>
  <si>
    <t>Cabot Oil &amp; Gas Corp</t>
  </si>
  <si>
    <t>SAM 95242</t>
  </si>
  <si>
    <t>IDEX Corp</t>
  </si>
  <si>
    <t>SAM 99394</t>
  </si>
  <si>
    <t>Diamondback Energy Inc</t>
  </si>
  <si>
    <t>SAM 99249</t>
  </si>
  <si>
    <t>Henkel AG &amp; KGAA</t>
  </si>
  <si>
    <t>SAM 95062</t>
  </si>
  <si>
    <t>DXC Technology Co</t>
  </si>
  <si>
    <t>SAM 99366</t>
  </si>
  <si>
    <t>Nomura Real Estate Master Fund Inc/New</t>
  </si>
  <si>
    <t>SAM 98900</t>
  </si>
  <si>
    <t>Capitaland</t>
  </si>
  <si>
    <t>SAM 91879</t>
  </si>
  <si>
    <t>Newell Brands Inc</t>
  </si>
  <si>
    <t>SAM 91271</t>
  </si>
  <si>
    <t>Albemarle Corp</t>
  </si>
  <si>
    <t>SAM 97780</t>
  </si>
  <si>
    <t>Royal Sun &amp; Alliance Insurance</t>
  </si>
  <si>
    <t>SAM 92647</t>
  </si>
  <si>
    <t>Southwest Airlines</t>
  </si>
  <si>
    <t>SAM 91761</t>
  </si>
  <si>
    <t>UDR Inc (REIT)</t>
  </si>
  <si>
    <t>SAM 94259</t>
  </si>
  <si>
    <t>CAE Inc</t>
  </si>
  <si>
    <t>SAM 93263</t>
  </si>
  <si>
    <t>Tapestry Inc</t>
  </si>
  <si>
    <t>SAM 93243</t>
  </si>
  <si>
    <t>Nomura Research Institute</t>
  </si>
  <si>
    <t>SAM 93384</t>
  </si>
  <si>
    <t>Stanley Electric</t>
  </si>
  <si>
    <t>SAM 92536</t>
  </si>
  <si>
    <t>Pulte Group Inc</t>
  </si>
  <si>
    <t>SAM 58330</t>
  </si>
  <si>
    <t>Interpublic Group</t>
  </si>
  <si>
    <t>SAM 91270</t>
  </si>
  <si>
    <t>Publicis Groupe</t>
  </si>
  <si>
    <t>SAM 93077</t>
  </si>
  <si>
    <t>Borgwarner</t>
  </si>
  <si>
    <t>SAM 94060</t>
  </si>
  <si>
    <t>China Evergrande Group</t>
  </si>
  <si>
    <t>SAM 97411</t>
  </si>
  <si>
    <t>AXA Equitable Holdings Inc</t>
  </si>
  <si>
    <t>SAM 99997</t>
  </si>
  <si>
    <t>Extra Space Storage Inc</t>
  </si>
  <si>
    <t>SAM 98790</t>
  </si>
  <si>
    <t>Atos SE</t>
  </si>
  <si>
    <t>SAM 93279</t>
  </si>
  <si>
    <t>Industrial Bank Of Korea</t>
  </si>
  <si>
    <t>SAM 96430</t>
  </si>
  <si>
    <t>Sumitomo Metal Mining</t>
  </si>
  <si>
    <t>SAM 92193</t>
  </si>
  <si>
    <t>OMV AG</t>
  </si>
  <si>
    <t>SAM 91579</t>
  </si>
  <si>
    <t>Enagas</t>
  </si>
  <si>
    <t>SAM 92315</t>
  </si>
  <si>
    <t>Franklin</t>
  </si>
  <si>
    <t>SAM 52350</t>
  </si>
  <si>
    <t>Methanex Corp</t>
  </si>
  <si>
    <t>SAM 93119</t>
  </si>
  <si>
    <t>Telecom Italia Spa</t>
  </si>
  <si>
    <t>SAM 92618</t>
  </si>
  <si>
    <t>Poste Italiane SpA</t>
  </si>
  <si>
    <t>SAM 99065</t>
  </si>
  <si>
    <t>GoDaddy Inc</t>
  </si>
  <si>
    <t>SAM 99794</t>
  </si>
  <si>
    <t>Puma</t>
  </si>
  <si>
    <t>SAM 92462</t>
  </si>
  <si>
    <t>Country Garden Holdings Co Ltd</t>
  </si>
  <si>
    <t>SAM 96027</t>
  </si>
  <si>
    <t>Yahoo! Japan</t>
  </si>
  <si>
    <t>SAM 91897</t>
  </si>
  <si>
    <t>PICC Property &amp; Casualty</t>
  </si>
  <si>
    <t>SAM 92687</t>
  </si>
  <si>
    <t>Schindler BE</t>
  </si>
  <si>
    <t>SAM 57970</t>
  </si>
  <si>
    <t>Hyundai Heavy Industries</t>
  </si>
  <si>
    <t>SAM 96411</t>
  </si>
  <si>
    <t>Perrigo Co</t>
  </si>
  <si>
    <t>SAM 95196</t>
  </si>
  <si>
    <t>TRACTOR SUPPLY COMPANY</t>
  </si>
  <si>
    <t>SAM 97769</t>
  </si>
  <si>
    <t>Braskem SA (pref shs)</t>
  </si>
  <si>
    <t>SAM 96666</t>
  </si>
  <si>
    <t>Xerox Holdings Corp</t>
  </si>
  <si>
    <t>SAM 100315</t>
  </si>
  <si>
    <t>Renesas Electronics Corp</t>
  </si>
  <si>
    <t>SAM 92608</t>
  </si>
  <si>
    <t>Kunlun Energy Company Ltd</t>
  </si>
  <si>
    <t>SAM 96076</t>
  </si>
  <si>
    <t>National Oilwell Varco Inc.</t>
  </si>
  <si>
    <t>SAM 91774</t>
  </si>
  <si>
    <t>Wartsila Oyj-B</t>
  </si>
  <si>
    <t>SAM 50561</t>
  </si>
  <si>
    <t>Wabtec</t>
  </si>
  <si>
    <t>SAM 95048</t>
  </si>
  <si>
    <t>Nielsen Holdings PLC</t>
  </si>
  <si>
    <t>SAM 98862</t>
  </si>
  <si>
    <t>Grupo Televisa SAB DE CV</t>
  </si>
  <si>
    <t>SAM 96319</t>
  </si>
  <si>
    <t>Fairfax Financial Holdings Inc</t>
  </si>
  <si>
    <t>SAM 92782</t>
  </si>
  <si>
    <t>Sundrug Co Ltd</t>
  </si>
  <si>
    <t>SAM 99073</t>
  </si>
  <si>
    <t>Yaskawa Electric Corp</t>
  </si>
  <si>
    <t>SAM 93602</t>
  </si>
  <si>
    <t>Jack Henry &amp; Associates Inc</t>
  </si>
  <si>
    <t>SAM 99398</t>
  </si>
  <si>
    <t>SAM 99887</t>
  </si>
  <si>
    <t>Caltex  Australia</t>
  </si>
  <si>
    <t>SAM 93582</t>
  </si>
  <si>
    <t>Kumba Iron Ore</t>
  </si>
  <si>
    <t>SAM 97196</t>
  </si>
  <si>
    <t>Crown Resorts Limited</t>
  </si>
  <si>
    <t>SAM 94775</t>
  </si>
  <si>
    <t>Aegon NV</t>
  </si>
  <si>
    <t>SAM 919910</t>
  </si>
  <si>
    <t>Yamaha Motor</t>
  </si>
  <si>
    <t>SAM 93008</t>
  </si>
  <si>
    <t>T&amp;D HOLDINGS</t>
  </si>
  <si>
    <t>SAM 93416</t>
  </si>
  <si>
    <t>BARRY CALLEBAUT AG-REG</t>
  </si>
  <si>
    <t>SAM 97797</t>
  </si>
  <si>
    <t>Keppel Corp</t>
  </si>
  <si>
    <t>SAM 54670</t>
  </si>
  <si>
    <t>Nissin Foods Holdings CO LTD</t>
  </si>
  <si>
    <t>SAM 2897</t>
  </si>
  <si>
    <t>Leidos Holdings Inc</t>
  </si>
  <si>
    <t>SAM 98309</t>
  </si>
  <si>
    <t>Nice Ltd</t>
  </si>
  <si>
    <t>SAM 96851</t>
  </si>
  <si>
    <t>Gartner Inc</t>
  </si>
  <si>
    <t>SAM 913470</t>
  </si>
  <si>
    <t>Norsk Hydro</t>
  </si>
  <si>
    <t>SAM 505260</t>
  </si>
  <si>
    <t>Zhaojin Mining Industry - H</t>
  </si>
  <si>
    <t>SAM 97467</t>
  </si>
  <si>
    <t>China Tower Corp Ltd</t>
  </si>
  <si>
    <t>SAM 99921</t>
  </si>
  <si>
    <t>Koninklijke KPN NV</t>
  </si>
  <si>
    <t>SAM 58310</t>
  </si>
  <si>
    <t>Gold Fields Ltd</t>
  </si>
  <si>
    <t>SAM 97189</t>
  </si>
  <si>
    <t>Sanlam Ltd</t>
  </si>
  <si>
    <t>SAM 97165</t>
  </si>
  <si>
    <t>Bid Corp Ltd</t>
  </si>
  <si>
    <t>SAM 99061</t>
  </si>
  <si>
    <t>Power Corp. of Canada</t>
  </si>
  <si>
    <t>SAM 92801</t>
  </si>
  <si>
    <t>SVB Financial Group</t>
  </si>
  <si>
    <t>SAM 99396</t>
  </si>
  <si>
    <t>Marks &amp; Spencer</t>
  </si>
  <si>
    <t>SAM 58450</t>
  </si>
  <si>
    <t>Pentair Ltd</t>
  </si>
  <si>
    <t>SAM 97958</t>
  </si>
  <si>
    <t>Brookfield Property Partners LP</t>
  </si>
  <si>
    <t>SAM 98179</t>
  </si>
  <si>
    <t>Yara International</t>
  </si>
  <si>
    <t>SAM 92830</t>
  </si>
  <si>
    <t>Arc Resources Ltd</t>
  </si>
  <si>
    <t>SAM 94175</t>
  </si>
  <si>
    <t>Magnit PJSC (GDR)</t>
  </si>
  <si>
    <t>SAM 97359</t>
  </si>
  <si>
    <t>Lenovo Group</t>
  </si>
  <si>
    <t>SAM 93745</t>
  </si>
  <si>
    <t>Tokyu Corp</t>
  </si>
  <si>
    <t>SAM 92174</t>
  </si>
  <si>
    <t>SS&amp;C Technologies Holdings Inc</t>
  </si>
  <si>
    <t>SAM 99414</t>
  </si>
  <si>
    <t>Daifuku Co</t>
  </si>
  <si>
    <t>SAM 94216</t>
  </si>
  <si>
    <t>Hankook Tire CO ltd</t>
  </si>
  <si>
    <t>SAM 97955</t>
  </si>
  <si>
    <t>ABN AMRO Group NV</t>
  </si>
  <si>
    <t>SAM 99066</t>
  </si>
  <si>
    <t>Longfor Properties</t>
  </si>
  <si>
    <t>SAM 97358</t>
  </si>
  <si>
    <t>Fortinet Inc</t>
  </si>
  <si>
    <t>SAM 98962</t>
  </si>
  <si>
    <t>China CITIC Bank Corporation Limited</t>
  </si>
  <si>
    <t>SAM 92662</t>
  </si>
  <si>
    <t>Osram Licht</t>
  </si>
  <si>
    <t>SAM 98271</t>
  </si>
  <si>
    <t>Straumann Holding AG-Reg</t>
  </si>
  <si>
    <t>SAM 92887</t>
  </si>
  <si>
    <t>DISH Network Corp.</t>
  </si>
  <si>
    <t>SAM 95119</t>
  </si>
  <si>
    <t>Ingredion Inc</t>
  </si>
  <si>
    <t>SAM 99080</t>
  </si>
  <si>
    <t>Open Text Corp</t>
  </si>
  <si>
    <t>SAM 93390</t>
  </si>
  <si>
    <t>Hannover Rueck</t>
  </si>
  <si>
    <t>SAM 94002</t>
  </si>
  <si>
    <t>Yamato Holdings</t>
  </si>
  <si>
    <t>SAM 63890</t>
  </si>
  <si>
    <t>PVH CORP</t>
  </si>
  <si>
    <t>SAM 97772</t>
  </si>
  <si>
    <t>Tencent Music Entertainment Group</t>
  </si>
  <si>
    <t>SAM 100063</t>
  </si>
  <si>
    <t>NN Group NV</t>
  </si>
  <si>
    <t>SAM 98583</t>
  </si>
  <si>
    <t>SAM 99096</t>
  </si>
  <si>
    <t>NH Foods Ltd</t>
  </si>
  <si>
    <t>SAM 91014</t>
  </si>
  <si>
    <t>Industrias Penoles CP</t>
  </si>
  <si>
    <t>SAM 96320</t>
  </si>
  <si>
    <t>Seattle Genetics Inc</t>
  </si>
  <si>
    <t>SAM 99238</t>
  </si>
  <si>
    <t>ALLEGHANY CORP</t>
  </si>
  <si>
    <t>SAM 97860</t>
  </si>
  <si>
    <t>Ralph Lauren Corp A</t>
  </si>
  <si>
    <t>SAM 94258</t>
  </si>
  <si>
    <t>Yamada Denki</t>
  </si>
  <si>
    <t>SAM 916200</t>
  </si>
  <si>
    <t>Isuzu Motors Ltd</t>
  </si>
  <si>
    <t>SAM 94780</t>
  </si>
  <si>
    <t>Harley-Davidson Inc</t>
  </si>
  <si>
    <t>SAM 91576</t>
  </si>
  <si>
    <t>Concordia Financial Group Ltd</t>
  </si>
  <si>
    <t>SAM 99023</t>
  </si>
  <si>
    <t>Flutter Entertainment PLC</t>
  </si>
  <si>
    <t>SAM 93634</t>
  </si>
  <si>
    <t>ThyssenKrupp</t>
  </si>
  <si>
    <t>SAM 91145</t>
  </si>
  <si>
    <t>Axalta Coating Systems Ltd</t>
  </si>
  <si>
    <t>SAM 98781</t>
  </si>
  <si>
    <t>Yakult Honsha Co Ltd</t>
  </si>
  <si>
    <t>SAM 92559</t>
  </si>
  <si>
    <t>LG Chem Ltd (pref shs)</t>
  </si>
  <si>
    <t>SAM 96462</t>
  </si>
  <si>
    <t>Mid-America Apartment Communities Inc</t>
  </si>
  <si>
    <t>SAM 99019</t>
  </si>
  <si>
    <t>Robert Half Intl</t>
  </si>
  <si>
    <t>SAM 93072</t>
  </si>
  <si>
    <t>Commerzbank AG</t>
  </si>
  <si>
    <t>SAM 91159</t>
  </si>
  <si>
    <t>Seven Generations Energy Ltd</t>
  </si>
  <si>
    <t>SAM 98936</t>
  </si>
  <si>
    <t>Keikyu Corp</t>
  </si>
  <si>
    <t>SAM 92655</t>
  </si>
  <si>
    <t>Live Nation Entertainment Inc</t>
  </si>
  <si>
    <t>SAM 94020</t>
  </si>
  <si>
    <t>Hyundai Engineering &amp; Construction</t>
  </si>
  <si>
    <t>SAM 96410</t>
  </si>
  <si>
    <t>Airasia BHD</t>
  </si>
  <si>
    <t>SAM 96355</t>
  </si>
  <si>
    <t>Alliance Data Systems Corp</t>
  </si>
  <si>
    <t>SAM 95110</t>
  </si>
  <si>
    <t>HanesBrands Inc</t>
  </si>
  <si>
    <t>SAM 94336</t>
  </si>
  <si>
    <t>SAM 99899</t>
  </si>
  <si>
    <t>Odakyu Electric Railway</t>
  </si>
  <si>
    <t>SAM 93387</t>
  </si>
  <si>
    <t>Santen Pharmaceutical Co</t>
  </si>
  <si>
    <t>SAM 93613</t>
  </si>
  <si>
    <t>Wharf Real Estate Investment Co Ltd</t>
  </si>
  <si>
    <t>SAM 99522</t>
  </si>
  <si>
    <t>Toho Gas</t>
  </si>
  <si>
    <t>SAM 50920</t>
  </si>
  <si>
    <t>Ono Pharma</t>
  </si>
  <si>
    <t>SAM 94809</t>
  </si>
  <si>
    <t>BANK OF COMMUNICATIONS H</t>
  </si>
  <si>
    <t>SAM 95739</t>
  </si>
  <si>
    <t>Disco</t>
  </si>
  <si>
    <t>SAM 92006</t>
  </si>
  <si>
    <t>Advance Auto Parts</t>
  </si>
  <si>
    <t>SAM 92912</t>
  </si>
  <si>
    <t>Impala Platinum Holdings Ltd</t>
  </si>
  <si>
    <t>SAM 97193</t>
  </si>
  <si>
    <t>Absa Group Ltd</t>
  </si>
  <si>
    <t>SAM 97176</t>
  </si>
  <si>
    <t>Nissan Chemical Corp</t>
  </si>
  <si>
    <t>SAM 93102</t>
  </si>
  <si>
    <t>Parsley Energy Inc</t>
  </si>
  <si>
    <t>SAM 99221</t>
  </si>
  <si>
    <t>Powszechny Zaklad Ubezpiecze</t>
  </si>
  <si>
    <t>SAM 97455</t>
  </si>
  <si>
    <t>Chemours Co/The</t>
  </si>
  <si>
    <t>SAM 98841</t>
  </si>
  <si>
    <t>Kaneka</t>
  </si>
  <si>
    <t>SAM 91020</t>
  </si>
  <si>
    <t>Swire Pacific</t>
  </si>
  <si>
    <t>SAM 62390</t>
  </si>
  <si>
    <t>Mohawk Industries</t>
  </si>
  <si>
    <t>SAM 93376</t>
  </si>
  <si>
    <t>Idemitsu Kosan</t>
  </si>
  <si>
    <t>SAM 94641</t>
  </si>
  <si>
    <t>Autohome Inc</t>
  </si>
  <si>
    <t>SAM 99427</t>
  </si>
  <si>
    <t>Maanshan Iron &amp; Steel Co</t>
  </si>
  <si>
    <t>SAM 56410</t>
  </si>
  <si>
    <t>Eurofins Scientific SE</t>
  </si>
  <si>
    <t>SAM 99233</t>
  </si>
  <si>
    <t>Lundin Mining Corp</t>
  </si>
  <si>
    <t>SAM 99584</t>
  </si>
  <si>
    <t>Teva Pharmaceutical Industries Ltd</t>
  </si>
  <si>
    <t>SAM 95271</t>
  </si>
  <si>
    <t>Nippon Paint Co Ltd</t>
  </si>
  <si>
    <t>SAM 98329</t>
  </si>
  <si>
    <t>Hang Lung Properties</t>
  </si>
  <si>
    <t>SAM 92324</t>
  </si>
  <si>
    <t>Swatch Group (Regd)</t>
  </si>
  <si>
    <t>SAM 91942</t>
  </si>
  <si>
    <t>Hengan International Group Co Ltd</t>
  </si>
  <si>
    <t>SAM 95779</t>
  </si>
  <si>
    <t>Bajaj Finance Ltd</t>
  </si>
  <si>
    <t>SAM 99088</t>
  </si>
  <si>
    <t>Ricoh</t>
  </si>
  <si>
    <t>SAM 91222</t>
  </si>
  <si>
    <t>Yamaha</t>
  </si>
  <si>
    <t>SAM 92310</t>
  </si>
  <si>
    <t>Jardine Strategic Holdings</t>
  </si>
  <si>
    <t>SAM 95256</t>
  </si>
  <si>
    <t>Charoen Pokphand Indonesia Tbk</t>
  </si>
  <si>
    <t>SAM 97333</t>
  </si>
  <si>
    <t>Invesco Ltd USA</t>
  </si>
  <si>
    <t>SAM 94778</t>
  </si>
  <si>
    <t>Keurig Dr Pepper Inc</t>
  </si>
  <si>
    <t>SAM 94970</t>
  </si>
  <si>
    <t>Grupo de Inversiones Suramericana</t>
  </si>
  <si>
    <t>SAM 97222</t>
  </si>
  <si>
    <t>Micro Focus International PLC</t>
  </si>
  <si>
    <t>SAM 99464</t>
  </si>
  <si>
    <t>Intertek Group</t>
  </si>
  <si>
    <t>SAM 93354</t>
  </si>
  <si>
    <t>Advantest</t>
  </si>
  <si>
    <t>SAM 91131</t>
  </si>
  <si>
    <t>Gap</t>
  </si>
  <si>
    <t>SAM 64550</t>
  </si>
  <si>
    <t>Deutsche Lufthansa</t>
  </si>
  <si>
    <t>SAM 60870</t>
  </si>
  <si>
    <t>HD Supply Holdings Inc</t>
  </si>
  <si>
    <t>SAM 99420</t>
  </si>
  <si>
    <t>Ascendas Real Estate Investment Trust (REIT)</t>
  </si>
  <si>
    <t>SAM 93282</t>
  </si>
  <si>
    <t>New York Community Bancorp</t>
  </si>
  <si>
    <t>SAM 93378</t>
  </si>
  <si>
    <t>Momo Inc</t>
  </si>
  <si>
    <t>SAM 99408</t>
  </si>
  <si>
    <t>Toho</t>
  </si>
  <si>
    <t>SAM 91659</t>
  </si>
  <si>
    <t>Sensata Technologies Holding PLC</t>
  </si>
  <si>
    <t>SAM 99683</t>
  </si>
  <si>
    <t>Lojas Renner</t>
  </si>
  <si>
    <t>SAM 96749</t>
  </si>
  <si>
    <t>Regency Centers Corp (REIT)</t>
  </si>
  <si>
    <t>SAM 94243</t>
  </si>
  <si>
    <t>Teijin</t>
  </si>
  <si>
    <t>SAM 91028</t>
  </si>
  <si>
    <t>Kinross Gold Corp (CAD)</t>
  </si>
  <si>
    <t>SAM 92757</t>
  </si>
  <si>
    <t>NGK Spark Plug</t>
  </si>
  <si>
    <t>SAM 92679</t>
  </si>
  <si>
    <t>Cochlear</t>
  </si>
  <si>
    <t>SAM 93240</t>
  </si>
  <si>
    <t>Obic Co</t>
  </si>
  <si>
    <t>SAM 93096</t>
  </si>
  <si>
    <t>Berkeley Grp Hld. Unit</t>
  </si>
  <si>
    <t>SAM 93484</t>
  </si>
  <si>
    <t>CJ Cheiljedang Corp</t>
  </si>
  <si>
    <t>SAM 96307</t>
  </si>
  <si>
    <t>Duke Realty Corp (REIT)</t>
  </si>
  <si>
    <t>SAM 93325</t>
  </si>
  <si>
    <t>Resona Holdings</t>
  </si>
  <si>
    <t>SAM 92542</t>
  </si>
  <si>
    <t>Eiffage SA</t>
  </si>
  <si>
    <t>SAM 94855</t>
  </si>
  <si>
    <t>Kose Corporation</t>
  </si>
  <si>
    <t>SAM 93620</t>
  </si>
  <si>
    <t>SAM 99707</t>
  </si>
  <si>
    <t>Dell Technologies Inc</t>
  </si>
  <si>
    <t>SAM 100064</t>
  </si>
  <si>
    <t>Alfresa Holdings Corp</t>
  </si>
  <si>
    <t>SAM 92619</t>
  </si>
  <si>
    <t>Gea Group</t>
  </si>
  <si>
    <t>SAM 94851</t>
  </si>
  <si>
    <t>Valeo SA</t>
  </si>
  <si>
    <t>SAM 91112</t>
  </si>
  <si>
    <t>Kimco Realty Corp (REIT)</t>
  </si>
  <si>
    <t>SAM 93360</t>
  </si>
  <si>
    <t>International Consolidated Airline</t>
  </si>
  <si>
    <t>SAM 97459</t>
  </si>
  <si>
    <t>Crescent Point Energy</t>
  </si>
  <si>
    <t>SAM 95469</t>
  </si>
  <si>
    <t>China Conch Venture Holdings Ltd</t>
  </si>
  <si>
    <t>SAM 98777</t>
  </si>
  <si>
    <t>JB Hunt Transport Services Inc</t>
  </si>
  <si>
    <t>SAM 94719</t>
  </si>
  <si>
    <t>Raymond James Financial Inc</t>
  </si>
  <si>
    <t>SAM 98207</t>
  </si>
  <si>
    <t>Umicore</t>
  </si>
  <si>
    <t>SAM 92600</t>
  </si>
  <si>
    <t>Mitsui OSK Lines</t>
  </si>
  <si>
    <t>SAM 92574</t>
  </si>
  <si>
    <t>Element Fleet Management Corp</t>
  </si>
  <si>
    <t>SAM 98968</t>
  </si>
  <si>
    <t>MOL Hungarian Oil &amp; Gas PLC</t>
  </si>
  <si>
    <t>SAM 96817</t>
  </si>
  <si>
    <t>Want Want China Holdings Ltd</t>
  </si>
  <si>
    <t>SAM 96240</t>
  </si>
  <si>
    <t>Eregli Demir ve Celik Fabrikalari</t>
  </si>
  <si>
    <t>SAM 97100</t>
  </si>
  <si>
    <t>Tsuruha Holdings Inc</t>
  </si>
  <si>
    <t>SAM 99085</t>
  </si>
  <si>
    <t>Kingfisher</t>
  </si>
  <si>
    <t>SAM 56030</t>
  </si>
  <si>
    <t>RTL Group S.A.</t>
  </si>
  <si>
    <t>SAM 98327</t>
  </si>
  <si>
    <t>Uber Technologies Inc</t>
  </si>
  <si>
    <t>SAM 100238</t>
  </si>
  <si>
    <t>American Financial Group Inc/OH</t>
  </si>
  <si>
    <t>SAM 99412</t>
  </si>
  <si>
    <t>Suzuken</t>
  </si>
  <si>
    <t>SAM 93040</t>
  </si>
  <si>
    <t>HARGREAVES LANSDOWN PLC</t>
  </si>
  <si>
    <t>SAM 98049</t>
  </si>
  <si>
    <t>Alpha Bank</t>
  </si>
  <si>
    <t>SAM 91944</t>
  </si>
  <si>
    <t>Greece</t>
  </si>
  <si>
    <t>GR</t>
  </si>
  <si>
    <t>E.SUN FINANCIAL HOLDINGS</t>
  </si>
  <si>
    <t>SAM 96512</t>
  </si>
  <si>
    <t>Helmerich &amp; Payne</t>
  </si>
  <si>
    <t>SAM 95027</t>
  </si>
  <si>
    <t>NSK Ltd</t>
  </si>
  <si>
    <t>SAM 91651</t>
  </si>
  <si>
    <t>Natixis</t>
  </si>
  <si>
    <t>SAM 94058</t>
  </si>
  <si>
    <t>Aurizon Holdings Ltd</t>
  </si>
  <si>
    <t>SAM 97465</t>
  </si>
  <si>
    <t>Cia de Minas Buenaventura SAA (ADR)</t>
  </si>
  <si>
    <t>SAM 96898</t>
  </si>
  <si>
    <t>Peru</t>
  </si>
  <si>
    <t>PE</t>
  </si>
  <si>
    <t>Harvey Norman</t>
  </si>
  <si>
    <t>SAM 92082</t>
  </si>
  <si>
    <t>Orion OYJ</t>
  </si>
  <si>
    <t>SAM 94302</t>
  </si>
  <si>
    <t>Anglo American Platinum</t>
  </si>
  <si>
    <t>SAM 95526</t>
  </si>
  <si>
    <t>Fox Corp-B</t>
  </si>
  <si>
    <t>SAM 100101</t>
  </si>
  <si>
    <t>Asahi Intecc Co Ltd</t>
  </si>
  <si>
    <t>SAM 100017</t>
  </si>
  <si>
    <t>Sonic Healthcare</t>
  </si>
  <si>
    <t>SAM 93045</t>
  </si>
  <si>
    <t>Tele2 B</t>
  </si>
  <si>
    <t>SAM 60262</t>
  </si>
  <si>
    <t>H&amp;R Real Estate Investment Trust (REIT)</t>
  </si>
  <si>
    <t>SAM 99940</t>
  </si>
  <si>
    <t>Snap-On</t>
  </si>
  <si>
    <t>SAM 94059</t>
  </si>
  <si>
    <t>Haier Electronics Group Co Ltd</t>
  </si>
  <si>
    <t>SAM 97801</t>
  </si>
  <si>
    <t>SCOR SE</t>
  </si>
  <si>
    <t>SAM 94436</t>
  </si>
  <si>
    <t>Dexus Property Group (REIT)</t>
  </si>
  <si>
    <t>SAM 93005</t>
  </si>
  <si>
    <t>Kyowa Hakko Kirin Co LTD</t>
  </si>
  <si>
    <t>SAM 91654</t>
  </si>
  <si>
    <t>Trimble Inc</t>
  </si>
  <si>
    <t>SAM 97768</t>
  </si>
  <si>
    <t>USS Co Ltd</t>
  </si>
  <si>
    <t>SAM 93426</t>
  </si>
  <si>
    <t>James Hardie Industries PLC</t>
  </si>
  <si>
    <t>SAM 91992</t>
  </si>
  <si>
    <t>AGC Inc</t>
  </si>
  <si>
    <t>SAM 61600</t>
  </si>
  <si>
    <t>ITV PLC</t>
  </si>
  <si>
    <t>SAM 63540</t>
  </si>
  <si>
    <t>Shimao Property Holdings Ltd</t>
  </si>
  <si>
    <t>SAM 96269</t>
  </si>
  <si>
    <t>United Urban Investment Corp (REIT)</t>
  </si>
  <si>
    <t>SAM 98238</t>
  </si>
  <si>
    <t>MISUMI Group Inc</t>
  </si>
  <si>
    <t>SAM 99232</t>
  </si>
  <si>
    <t>Stericycle Inc</t>
  </si>
  <si>
    <t>SAM 95190</t>
  </si>
  <si>
    <t>Rohm Co Ltd</t>
  </si>
  <si>
    <t>SAM 63840</t>
  </si>
  <si>
    <t>Cimic Group Ltd</t>
  </si>
  <si>
    <t>SAM 92407</t>
  </si>
  <si>
    <t>Zayo Group Holdings Inc</t>
  </si>
  <si>
    <t>SAM 99223</t>
  </si>
  <si>
    <t>LIBERTY FORMULA</t>
  </si>
  <si>
    <t>SAM 99031</t>
  </si>
  <si>
    <t>Spark New Zealand Ltd</t>
  </si>
  <si>
    <t>SAM 66260</t>
  </si>
  <si>
    <t>Allegion PLC</t>
  </si>
  <si>
    <t>SAM 98368</t>
  </si>
  <si>
    <t>Flex Ltd</t>
  </si>
  <si>
    <t>SAM 92692</t>
  </si>
  <si>
    <t>Fosun International Ltd</t>
  </si>
  <si>
    <t>SAM 94967</t>
  </si>
  <si>
    <t>Kansai Paint Co</t>
  </si>
  <si>
    <t>SAM 93359</t>
  </si>
  <si>
    <t>HKT Trust &amp; HKT Ltd</t>
  </si>
  <si>
    <t>SAM 97664</t>
  </si>
  <si>
    <t>Minebea Mitsumi Inc</t>
  </si>
  <si>
    <t>SAM 63850</t>
  </si>
  <si>
    <t>Cia de Saneamento Basico do Estado de Sao Paulo</t>
  </si>
  <si>
    <t>SAM 96774</t>
  </si>
  <si>
    <t>Black Knight Inc</t>
  </si>
  <si>
    <t>SAM 99485</t>
  </si>
  <si>
    <t>Recordati S.p.A.</t>
  </si>
  <si>
    <t>SAM 92188</t>
  </si>
  <si>
    <t>Capri Holdings Ltd</t>
  </si>
  <si>
    <t>SAM 98295</t>
  </si>
  <si>
    <t>Virgin Islands, British</t>
  </si>
  <si>
    <t>VG</t>
  </si>
  <si>
    <t>Arrow Electronics</t>
  </si>
  <si>
    <t>SAM 94245</t>
  </si>
  <si>
    <t>Dr Reddy's Laboratories Ltd</t>
  </si>
  <si>
    <t>SAM 96801</t>
  </si>
  <si>
    <t>Shizuoka Bank</t>
  </si>
  <si>
    <t>SAM 91458</t>
  </si>
  <si>
    <t>Bureau Veritas SA</t>
  </si>
  <si>
    <t>SAM 95236</t>
  </si>
  <si>
    <t>Plains GP Holdings LP</t>
  </si>
  <si>
    <t>SAM 98972</t>
  </si>
  <si>
    <t>American Airlines Group Inc</t>
  </si>
  <si>
    <t>SAM 98456</t>
  </si>
  <si>
    <t>CHINA RESOURCES GAS GROUP LT</t>
  </si>
  <si>
    <t>SAM 97712</t>
  </si>
  <si>
    <t>Qorvo Inc</t>
  </si>
  <si>
    <t>SAM 98654</t>
  </si>
  <si>
    <t>Japan Retail Fund Investment Corp (REIT)</t>
  </si>
  <si>
    <t>SAM 93358</t>
  </si>
  <si>
    <t>ICA Gruppen AB</t>
  </si>
  <si>
    <t>SAM 95123</t>
  </si>
  <si>
    <t>Shaw Communications B</t>
  </si>
  <si>
    <t>SAM 92769</t>
  </si>
  <si>
    <t>Metso OYJ</t>
  </si>
  <si>
    <t>SAM 92277</t>
  </si>
  <si>
    <t>John Wood Group PLC</t>
  </si>
  <si>
    <t>SAM 99488</t>
  </si>
  <si>
    <t>China Minsheng Banking H</t>
  </si>
  <si>
    <t>SAM 95604</t>
  </si>
  <si>
    <t>Goodyear Tire &amp; Rubber</t>
  </si>
  <si>
    <t>SAM 59620</t>
  </si>
  <si>
    <t>Melco Resorts &amp; Entertainment</t>
  </si>
  <si>
    <t>SAM 94440</t>
  </si>
  <si>
    <t>Tata Motors</t>
  </si>
  <si>
    <t>SAM 96946</t>
  </si>
  <si>
    <t>Mcdonald's Holdings Co Japan</t>
  </si>
  <si>
    <t>SAM 95402</t>
  </si>
  <si>
    <t>Toyota Tsusho</t>
  </si>
  <si>
    <t>SAM 93605</t>
  </si>
  <si>
    <t>L E Lundbergforetagen AB - B</t>
  </si>
  <si>
    <t>SAM 62802</t>
  </si>
  <si>
    <t>JG Summit Holdings Inc</t>
  </si>
  <si>
    <t>SAM 98331</t>
  </si>
  <si>
    <t>Konami</t>
  </si>
  <si>
    <t>SAM 91027</t>
  </si>
  <si>
    <t>Ingenico</t>
  </si>
  <si>
    <t>SAM 94891</t>
  </si>
  <si>
    <t>China Communications Construction</t>
  </si>
  <si>
    <t>SAM 94459</t>
  </si>
  <si>
    <t>Airports of Thailand (foreign shs)</t>
  </si>
  <si>
    <t>SAM 92812</t>
  </si>
  <si>
    <t>British Land Co PLC (REIT)</t>
  </si>
  <si>
    <t>SAM 60020</t>
  </si>
  <si>
    <t>LI NING CO</t>
  </si>
  <si>
    <t>SAM 95761</t>
  </si>
  <si>
    <t>Kyushu Railway Co</t>
  </si>
  <si>
    <t>SAM 99404</t>
  </si>
  <si>
    <t>Fisher &amp; Paykel</t>
  </si>
  <si>
    <t>SAM 92554</t>
  </si>
  <si>
    <t>Bancolombia Pref</t>
  </si>
  <si>
    <t>SAM 97217</t>
  </si>
  <si>
    <t>Bidvest Group Ltd</t>
  </si>
  <si>
    <t>SAM 97184</t>
  </si>
  <si>
    <t>Wheelock</t>
  </si>
  <si>
    <t>SAM 94800</t>
  </si>
  <si>
    <t>Zalando SE</t>
  </si>
  <si>
    <t>SAM 98934</t>
  </si>
  <si>
    <t>Kalbe Farma Tbk PT</t>
  </si>
  <si>
    <t>SAM 97352</t>
  </si>
  <si>
    <t>CD Projekt SA</t>
  </si>
  <si>
    <t>SAM 99554</t>
  </si>
  <si>
    <t>Verbund  AG</t>
  </si>
  <si>
    <t>SAM 91102</t>
  </si>
  <si>
    <t>Bank Pekao SA</t>
  </si>
  <si>
    <t>SAM 97076</t>
  </si>
  <si>
    <t>H&amp;R Block</t>
  </si>
  <si>
    <t>SAM 92220</t>
  </si>
  <si>
    <t>Dassault Aviation SA</t>
  </si>
  <si>
    <t>SAM 99245</t>
  </si>
  <si>
    <t>WAYFAIR INC- CLASS A</t>
  </si>
  <si>
    <t>SAM 100035</t>
  </si>
  <si>
    <t>Lundin Petroleum</t>
  </si>
  <si>
    <t>SAM 825820</t>
  </si>
  <si>
    <t>Daiwa House Residential Investment Corp</t>
  </si>
  <si>
    <t>SAM 99134</t>
  </si>
  <si>
    <t>Banco de Sabadell</t>
  </si>
  <si>
    <t>SAM 92879</t>
  </si>
  <si>
    <t>PPB Group</t>
  </si>
  <si>
    <t>SAM 96438</t>
  </si>
  <si>
    <t>EMS-CHEMIE HOLDING AG-REG</t>
  </si>
  <si>
    <t>SAM 98019</t>
  </si>
  <si>
    <t>Nestle Malaysia Bhd</t>
  </si>
  <si>
    <t>SAM 99544</t>
  </si>
  <si>
    <t>Fraport</t>
  </si>
  <si>
    <t>SAM 91991</t>
  </si>
  <si>
    <t>Pearson</t>
  </si>
  <si>
    <t>SAM 53530</t>
  </si>
  <si>
    <t>Singapore Airlines</t>
  </si>
  <si>
    <t>SAM 91412</t>
  </si>
  <si>
    <t>Liberty Global PLC (A shs)</t>
  </si>
  <si>
    <t>SAM 92872</t>
  </si>
  <si>
    <t>Sartorius Stedim Biotech</t>
  </si>
  <si>
    <t>SAM 99993</t>
  </si>
  <si>
    <t>Empire Co Ltd A</t>
  </si>
  <si>
    <t>SAM 95252</t>
  </si>
  <si>
    <t>Swire Properties Ltd</t>
  </si>
  <si>
    <t>SAM 97667</t>
  </si>
  <si>
    <t>Lion Corp</t>
  </si>
  <si>
    <t>SAM 99218</t>
  </si>
  <si>
    <t>Bollore</t>
  </si>
  <si>
    <t>SAM 95241</t>
  </si>
  <si>
    <t>Singapore Exchange</t>
  </si>
  <si>
    <t>SAM 91872</t>
  </si>
  <si>
    <t>BYD CO H</t>
  </si>
  <si>
    <t>SAM 95656</t>
  </si>
  <si>
    <t>L Brands Inc</t>
  </si>
  <si>
    <t>SAM 98155</t>
  </si>
  <si>
    <t>Weichai Power</t>
  </si>
  <si>
    <t>SAM 92913</t>
  </si>
  <si>
    <t>Advanced Info Service (foreign shs)</t>
  </si>
  <si>
    <t>SAM 97444</t>
  </si>
  <si>
    <t>Wynn Macau Ltd</t>
  </si>
  <si>
    <t>SAM 97464</t>
  </si>
  <si>
    <t>Capita Plc</t>
  </si>
  <si>
    <t>SAM 91467</t>
  </si>
  <si>
    <t>Taiwan Cooperative Financial</t>
  </si>
  <si>
    <t>SAM 97649</t>
  </si>
  <si>
    <t>Sartorius AG</t>
  </si>
  <si>
    <t>SAM 99840</t>
  </si>
  <si>
    <t>Interconexion Elevtrica SA</t>
  </si>
  <si>
    <t>SAM 97223</t>
  </si>
  <si>
    <t>Sino Land</t>
  </si>
  <si>
    <t>SAM 93305</t>
  </si>
  <si>
    <t>Porto Seguro</t>
  </si>
  <si>
    <t>SAM 96771</t>
  </si>
  <si>
    <t>Altice USA Inc</t>
  </si>
  <si>
    <t>SAM 99701</t>
  </si>
  <si>
    <t>Kingspan Group</t>
  </si>
  <si>
    <t>SAM 93362</t>
  </si>
  <si>
    <t>a2 Milk Co Ltd</t>
  </si>
  <si>
    <t>SAM 99851</t>
  </si>
  <si>
    <t>SES - FDR</t>
  </si>
  <si>
    <t>SAM 94849</t>
  </si>
  <si>
    <t>Nordstrom</t>
  </si>
  <si>
    <t>SAM 94814</t>
  </si>
  <si>
    <t>WABCO Holdings Inc</t>
  </si>
  <si>
    <t>SAM 94687</t>
  </si>
  <si>
    <t>Investment AB Kinnevik (B)</t>
  </si>
  <si>
    <t>SAM 55920</t>
  </si>
  <si>
    <t>Daiwa Securities</t>
  </si>
  <si>
    <t>SAM 91459</t>
  </si>
  <si>
    <t>Medipal Holdings Corp</t>
  </si>
  <si>
    <t>SAM 93372</t>
  </si>
  <si>
    <t>WR Grace &amp; Co</t>
  </si>
  <si>
    <t>SAM 99017</t>
  </si>
  <si>
    <t>Nippon Electric Glass</t>
  </si>
  <si>
    <t>SAM 93617</t>
  </si>
  <si>
    <t>Mazda Motor Corp</t>
  </si>
  <si>
    <t>SAM 94779</t>
  </si>
  <si>
    <t>Tech Mahindra Ltd</t>
  </si>
  <si>
    <t>SAM 98348</t>
  </si>
  <si>
    <t>Toppan Printing</t>
  </si>
  <si>
    <t>SAM 63880</t>
  </si>
  <si>
    <t>Growthpoint Properties Ltd (REIT)</t>
  </si>
  <si>
    <t>SAM 97190</t>
  </si>
  <si>
    <t>Bancolombia</t>
  </si>
  <si>
    <t>SAM 97216</t>
  </si>
  <si>
    <t>Nektar Therapeutics</t>
  </si>
  <si>
    <t>SAM 99805</t>
  </si>
  <si>
    <t>Polaris Inc</t>
  </si>
  <si>
    <t>SAM 98028</t>
  </si>
  <si>
    <t>Informa PLC</t>
  </si>
  <si>
    <t>SAM 99893</t>
  </si>
  <si>
    <t>Mitsubishi Tanabe Pharma Corp</t>
  </si>
  <si>
    <t>SAM 93609</t>
  </si>
  <si>
    <t>Sumitomo Dainippon Pharma Co Ltd</t>
  </si>
  <si>
    <t>SAM 95216</t>
  </si>
  <si>
    <t>City Developments</t>
  </si>
  <si>
    <t>SAM 60580</t>
  </si>
  <si>
    <t>Equitrans Midstream Corp</t>
  </si>
  <si>
    <t>SAM 99960</t>
  </si>
  <si>
    <t>Voya Financial Inc</t>
  </si>
  <si>
    <t>SAM 98467</t>
  </si>
  <si>
    <t>MonotaRO Co Ltd</t>
  </si>
  <si>
    <t>SAM 100027</t>
  </si>
  <si>
    <t>UNIVERSAL ROBINA CORP</t>
  </si>
  <si>
    <t>SAM 97855</t>
  </si>
  <si>
    <t>First Republic Bank/CA</t>
  </si>
  <si>
    <t>SAM 97774</t>
  </si>
  <si>
    <t>Tate &amp; Lyle</t>
  </si>
  <si>
    <t>SAM 91480</t>
  </si>
  <si>
    <t>Bombardier B</t>
  </si>
  <si>
    <t>SAM 64830</t>
  </si>
  <si>
    <t>Foot Locker Inc</t>
  </si>
  <si>
    <t>SAM 92867</t>
  </si>
  <si>
    <t>Raiffeisen Intl Bank</t>
  </si>
  <si>
    <t>SAM 94069</t>
  </si>
  <si>
    <t>Colruyt</t>
  </si>
  <si>
    <t>SAM 93238</t>
  </si>
  <si>
    <t>Ocado Group PLC</t>
  </si>
  <si>
    <t>SAM 100185</t>
  </si>
  <si>
    <t>CCR S.A.</t>
  </si>
  <si>
    <t>SAM 96673</t>
  </si>
  <si>
    <t>Wuxi Biologics Cayman Inc</t>
  </si>
  <si>
    <t>SAM 99796</t>
  </si>
  <si>
    <t>ComfortDelgro</t>
  </si>
  <si>
    <t>SAM 92465</t>
  </si>
  <si>
    <t>China Taiping Insurance Holdings Co Ltd</t>
  </si>
  <si>
    <t>SAM 92047</t>
  </si>
  <si>
    <t>Start Today Co Ltd</t>
  </si>
  <si>
    <t>SAM 99087</t>
  </si>
  <si>
    <t>Arkema EUR10</t>
  </si>
  <si>
    <t>SAM 94297</t>
  </si>
  <si>
    <t>Sibanye-Stillwater Ltd</t>
  </si>
  <si>
    <t>SAM 98010</t>
  </si>
  <si>
    <t>SM Investments</t>
  </si>
  <si>
    <t>SAM 96363</t>
  </si>
  <si>
    <t>CITIC Securities Co Ltd</t>
  </si>
  <si>
    <t>SAM 97812</t>
  </si>
  <si>
    <t>Manpower Group</t>
  </si>
  <si>
    <t>SAM 93130</t>
  </si>
  <si>
    <t>SHIMADZU CORP</t>
  </si>
  <si>
    <t>SAM 95204</t>
  </si>
  <si>
    <t>Worleyparsons</t>
  </si>
  <si>
    <t>SAM 94117</t>
  </si>
  <si>
    <t>United Spirits Ltd</t>
  </si>
  <si>
    <t>SAM 96964</t>
  </si>
  <si>
    <t>Welcia Holdings Co Ltd</t>
  </si>
  <si>
    <t>SAM 100018</t>
  </si>
  <si>
    <t>China National Building MA- H</t>
  </si>
  <si>
    <t>SAM 95606</t>
  </si>
  <si>
    <t>Aisin Seiki</t>
  </si>
  <si>
    <t>SAM 93306</t>
  </si>
  <si>
    <t>CNP Assurances</t>
  </si>
  <si>
    <t>SAM 93244</t>
  </si>
  <si>
    <t>Mattel</t>
  </si>
  <si>
    <t>SAM 55541</t>
  </si>
  <si>
    <t>Bajaj Finserv Ltd</t>
  </si>
  <si>
    <t>SAM 99244</t>
  </si>
  <si>
    <t>Yamazaki Baking</t>
  </si>
  <si>
    <t>SAM 91034</t>
  </si>
  <si>
    <t>Keio Electric Railway</t>
  </si>
  <si>
    <t>SAM 92029</t>
  </si>
  <si>
    <t>CALBEE INC</t>
  </si>
  <si>
    <t>SAM 98040</t>
  </si>
  <si>
    <t>Pigeon Corp</t>
  </si>
  <si>
    <t>SAM 100001</t>
  </si>
  <si>
    <t>WR Berkley</t>
  </si>
  <si>
    <t>SAM 92369</t>
  </si>
  <si>
    <t>Pccw Ltd</t>
  </si>
  <si>
    <t>SAM 91602</t>
  </si>
  <si>
    <t>58.com Inc</t>
  </si>
  <si>
    <t>SAM 98621</t>
  </si>
  <si>
    <t>United Airlines Holdings Inc</t>
  </si>
  <si>
    <t>SAM 97309</t>
  </si>
  <si>
    <t>AMERCO</t>
  </si>
  <si>
    <t>SAM 98956</t>
  </si>
  <si>
    <t>Schindler Holding AG-Reg</t>
  </si>
  <si>
    <t>SAM 95170</t>
  </si>
  <si>
    <t>Finning International</t>
  </si>
  <si>
    <t>SAM 92764</t>
  </si>
  <si>
    <t>AusNet Services</t>
  </si>
  <si>
    <t>SAM 95318</t>
  </si>
  <si>
    <t>Shimizu</t>
  </si>
  <si>
    <t>SAM 92191</t>
  </si>
  <si>
    <t>Koito Manufacturing Co Ltd</t>
  </si>
  <si>
    <t>SAM 95504</t>
  </si>
  <si>
    <t>CRRC Corp Ltd</t>
  </si>
  <si>
    <t>SAM 95661</t>
  </si>
  <si>
    <t>Shoprite Holdings Ltd</t>
  </si>
  <si>
    <t>SAM 97168</t>
  </si>
  <si>
    <t>Woolworths Holdings Ltd</t>
  </si>
  <si>
    <t>SAM 97175</t>
  </si>
  <si>
    <t>Skf Svenska Kullager Fabrikker B</t>
  </si>
  <si>
    <t>SAM 50852</t>
  </si>
  <si>
    <t>nVent Electric PLC</t>
  </si>
  <si>
    <t>SAM 99689</t>
  </si>
  <si>
    <t>Tsingtao Brewery</t>
  </si>
  <si>
    <t>SAM 91197</t>
  </si>
  <si>
    <t>Sabre Corp</t>
  </si>
  <si>
    <t>SAM 98930</t>
  </si>
  <si>
    <t>CDK Global Inc</t>
  </si>
  <si>
    <t>SAM 98552</t>
  </si>
  <si>
    <t>Prysmian</t>
  </si>
  <si>
    <t>SAM 94856</t>
  </si>
  <si>
    <t>West Fraser Timber Co Ltd</t>
  </si>
  <si>
    <t>SAM 98727</t>
  </si>
  <si>
    <t>Mitsubishi Gas Chemical</t>
  </si>
  <si>
    <t>SAM 93115</t>
  </si>
  <si>
    <t>EQT Corporation</t>
  </si>
  <si>
    <t>SAM 93677</t>
  </si>
  <si>
    <t>United Therapeutics Corp</t>
  </si>
  <si>
    <t>SAM 98784</t>
  </si>
  <si>
    <t>Komercni Banka AS</t>
  </si>
  <si>
    <t>SAM 96859</t>
  </si>
  <si>
    <t>Czech Republic</t>
  </si>
  <si>
    <t>CZ</t>
  </si>
  <si>
    <t>CZK</t>
  </si>
  <si>
    <t>Inmarsat</t>
  </si>
  <si>
    <t>SAM 94051</t>
  </si>
  <si>
    <t>Nikon</t>
  </si>
  <si>
    <t>SAM 91132</t>
  </si>
  <si>
    <t>Klepierre (REIT)</t>
  </si>
  <si>
    <t>SAM 93363</t>
  </si>
  <si>
    <t>Bank of East Asia</t>
  </si>
  <si>
    <t>SAM 60720</t>
  </si>
  <si>
    <t>Samsung Heavy Industries</t>
  </si>
  <si>
    <t>SAM 96332</t>
  </si>
  <si>
    <t>Hyundai Glovis Co Ltd</t>
  </si>
  <si>
    <t>SAM 96366</t>
  </si>
  <si>
    <t>St James's Place PLC</t>
  </si>
  <si>
    <t>SAM 98377</t>
  </si>
  <si>
    <t>THK</t>
  </si>
  <si>
    <t>SAM 92534</t>
  </si>
  <si>
    <t>Hoshizaki Corporation</t>
  </si>
  <si>
    <t>SAM 98960</t>
  </si>
  <si>
    <t>Ramsay Health Care Ltd</t>
  </si>
  <si>
    <t>SAM 97647</t>
  </si>
  <si>
    <t>ANA Holdings Inc</t>
  </si>
  <si>
    <t>SAM 92535</t>
  </si>
  <si>
    <t>Brother Inds Ltd</t>
  </si>
  <si>
    <t>SAM 94784</t>
  </si>
  <si>
    <t>SBI Holding</t>
  </si>
  <si>
    <t>SAM 93610</t>
  </si>
  <si>
    <t>Lanxess</t>
  </si>
  <si>
    <t>SAM 93445</t>
  </si>
  <si>
    <t>K+S AG</t>
  </si>
  <si>
    <t>SAM 97614</t>
  </si>
  <si>
    <t>Power Grid Corp of India Ltd</t>
  </si>
  <si>
    <t>SAM 97481</t>
  </si>
  <si>
    <t>Nippon Yusen</t>
  </si>
  <si>
    <t>SAM 66460</t>
  </si>
  <si>
    <t>Akbank</t>
  </si>
  <si>
    <t>SAM 97072</t>
  </si>
  <si>
    <t>Hellenic Telecommunications Organization SA</t>
  </si>
  <si>
    <t>SAM 92402</t>
  </si>
  <si>
    <t>Banco Santander Brasil SA</t>
  </si>
  <si>
    <t>SAM 96655</t>
  </si>
  <si>
    <t>SEEK LTD</t>
  </si>
  <si>
    <t>SAM 98221</t>
  </si>
  <si>
    <t>BIM BIRLESIK MAGAZALAR</t>
  </si>
  <si>
    <t>SAM 97086</t>
  </si>
  <si>
    <t>Aroundtown SA</t>
  </si>
  <si>
    <t>SAM 99970</t>
  </si>
  <si>
    <t>ASM Pacific Technology</t>
  </si>
  <si>
    <t>SAM 91932</t>
  </si>
  <si>
    <t>Kerry Properties</t>
  </si>
  <si>
    <t>SAM 91208</t>
  </si>
  <si>
    <t>Hitachi High-Technologies</t>
  </si>
  <si>
    <t>SAM 92180</t>
  </si>
  <si>
    <t>Tabcorp Holdings (Victoria)</t>
  </si>
  <si>
    <t>SAM 91418</t>
  </si>
  <si>
    <t>Spar Group Ltd</t>
  </si>
  <si>
    <t>SAM 97369</t>
  </si>
  <si>
    <t>China Hongqiao Group Ltd</t>
  </si>
  <si>
    <t>SAM 100028</t>
  </si>
  <si>
    <t>Athene Holding Ltd</t>
  </si>
  <si>
    <t>SAM 99401</t>
  </si>
  <si>
    <t>ProSiebenSat.1 Media AG</t>
  </si>
  <si>
    <t>SAM 98286</t>
  </si>
  <si>
    <t>Indian Oil Corp Ltd</t>
  </si>
  <si>
    <t>SAM 99397</t>
  </si>
  <si>
    <t>B2W Cia Digital</t>
  </si>
  <si>
    <t>SAM 96646</t>
  </si>
  <si>
    <t>SATS Ltd</t>
  </si>
  <si>
    <t>SAM 91711</t>
  </si>
  <si>
    <t>Randstad NV</t>
  </si>
  <si>
    <t>SAM 91316</t>
  </si>
  <si>
    <t>Yangzijiang Shipbuilding</t>
  </si>
  <si>
    <t>SAM 95564</t>
  </si>
  <si>
    <t>Direct Line Insurance Group PLC</t>
  </si>
  <si>
    <t>SAM 98241</t>
  </si>
  <si>
    <t>Maxis BHD</t>
  </si>
  <si>
    <t>SAM 96427</t>
  </si>
  <si>
    <t>Sumitomo Rubber Industries</t>
  </si>
  <si>
    <t>SAM 93608</t>
  </si>
  <si>
    <t>Infraestructura Energetica Nova SAB de CV</t>
  </si>
  <si>
    <t>SAM 99250</t>
  </si>
  <si>
    <t>Grupa Lotos SA</t>
  </si>
  <si>
    <t>SAM 97105</t>
  </si>
  <si>
    <t>CGN Power Co Ltd</t>
  </si>
  <si>
    <t>SAM 98649</t>
  </si>
  <si>
    <t>Coca-Cola Bottlers Japan Inc</t>
  </si>
  <si>
    <t>SAM 92457</t>
  </si>
  <si>
    <t>IHH Healthcare Bhd</t>
  </si>
  <si>
    <t>SAM 97943</t>
  </si>
  <si>
    <t>Hamamatsu Photonics KK</t>
  </si>
  <si>
    <t>SAM 97324</t>
  </si>
  <si>
    <t>LendLease Group</t>
  </si>
  <si>
    <t>SAM 63960</t>
  </si>
  <si>
    <t>J Front Retailing Co Ltd</t>
  </si>
  <si>
    <t>SAM 94698</t>
  </si>
  <si>
    <t>MultiChoice Group Ltd</t>
  </si>
  <si>
    <t>SAM 100082</t>
  </si>
  <si>
    <t>Kawasaki Heavy Ind</t>
  </si>
  <si>
    <t>SAM 51800</t>
  </si>
  <si>
    <t>Kakao Corp</t>
  </si>
  <si>
    <t>SAM 98593</t>
  </si>
  <si>
    <t>Jefferies Financial Group Inc</t>
  </si>
  <si>
    <t>SAM 94237</t>
  </si>
  <si>
    <t>BeiGene Ltd</t>
  </si>
  <si>
    <t>SAM 99996</t>
  </si>
  <si>
    <t>STANDARD FOODS CORP</t>
  </si>
  <si>
    <t>SAM 97884</t>
  </si>
  <si>
    <t>Eutelsat Communications</t>
  </si>
  <si>
    <t>SAM 95234</t>
  </si>
  <si>
    <t>Ubisoft Entertainment SA</t>
  </si>
  <si>
    <t>SAM 99543</t>
  </si>
  <si>
    <t>Petronas Gas</t>
  </si>
  <si>
    <t>SAM 91044</t>
  </si>
  <si>
    <t>Solvay</t>
  </si>
  <si>
    <t>SAM 91107</t>
  </si>
  <si>
    <t>Shanghai Commercial &amp; Savings Bank Ltd/The</t>
  </si>
  <si>
    <t>SAM 100085</t>
  </si>
  <si>
    <t>Taisho Pharmaceutical</t>
  </si>
  <si>
    <t>SAM 66690</t>
  </si>
  <si>
    <t>Jtekt Corp.</t>
  </si>
  <si>
    <t>SAM 93141</t>
  </si>
  <si>
    <t>Pandora AS</t>
  </si>
  <si>
    <t>SAM 97526</t>
  </si>
  <si>
    <t>Electrolux B</t>
  </si>
  <si>
    <t>SAM 58782</t>
  </si>
  <si>
    <t>NWS Holdings</t>
  </si>
  <si>
    <t>SAM 94949</t>
  </si>
  <si>
    <t>Hikari Tsushin</t>
  </si>
  <si>
    <t>SAM 91603</t>
  </si>
  <si>
    <t>Perspecta Inc</t>
  </si>
  <si>
    <t>SAM 99708</t>
  </si>
  <si>
    <t>LIBERTY HOLDINGS</t>
  </si>
  <si>
    <t>SAM 97197</t>
  </si>
  <si>
    <t>AltaGas Ltd</t>
  </si>
  <si>
    <t>SAM 98215</t>
  </si>
  <si>
    <t>Mitsubishi Materials</t>
  </si>
  <si>
    <t>SAM 91657</t>
  </si>
  <si>
    <t>Coty Inc</t>
  </si>
  <si>
    <t>SAM 99162</t>
  </si>
  <si>
    <t>TUI AG (GBP)</t>
  </si>
  <si>
    <t>SAM 98641</t>
  </si>
  <si>
    <t>IMI Plc</t>
  </si>
  <si>
    <t>SAM 92641</t>
  </si>
  <si>
    <t>UltraTech Cement Ltd</t>
  </si>
  <si>
    <t>SAM 96955</t>
  </si>
  <si>
    <t>LINE Corp</t>
  </si>
  <si>
    <t>SAM 99228</t>
  </si>
  <si>
    <t>Stars Group Inc/The</t>
  </si>
  <si>
    <t>SAM 99987</t>
  </si>
  <si>
    <t>Turkiye Garanti Bankasi</t>
  </si>
  <si>
    <t>SAM 97118</t>
  </si>
  <si>
    <t>Fuji Electric Co Ltd</t>
  </si>
  <si>
    <t>SAM 93198</t>
  </si>
  <si>
    <t>Taiheiyo Cement</t>
  </si>
  <si>
    <t>SAM 91019</t>
  </si>
  <si>
    <t>Coca-Cola Femsa SAB De CV</t>
  </si>
  <si>
    <t>SAM 100115</t>
  </si>
  <si>
    <t>NGK Insulators</t>
  </si>
  <si>
    <t>SAM 65760</t>
  </si>
  <si>
    <t>Grupo Bimbo A</t>
  </si>
  <si>
    <t>SAM 96302</t>
  </si>
  <si>
    <t>SUN ART RETAIL GROUP LTD</t>
  </si>
  <si>
    <t>SAM 97656</t>
  </si>
  <si>
    <t>Japan Post Bank Co Ltd</t>
  </si>
  <si>
    <t>SAM 98919</t>
  </si>
  <si>
    <t>Amp Ltd.</t>
  </si>
  <si>
    <t>SAM 91509</t>
  </si>
  <si>
    <t>United Internet AG</t>
  </si>
  <si>
    <t>SAM 95000</t>
  </si>
  <si>
    <t>People's Insurance Co Group of China Ltd</t>
  </si>
  <si>
    <t>SAM 98047</t>
  </si>
  <si>
    <t>AAC Technologies Holdings Inc</t>
  </si>
  <si>
    <t>SAM 98218</t>
  </si>
  <si>
    <t>SNC-Lavalin Group</t>
  </si>
  <si>
    <t>SAM 92761</t>
  </si>
  <si>
    <t>CHINA EVERBRIGHT INTL LTD</t>
  </si>
  <si>
    <t>SAM 98206</t>
  </si>
  <si>
    <t>Pioneer Foods Ltd</t>
  </si>
  <si>
    <t>SAM 98865</t>
  </si>
  <si>
    <t>Showa Denko K.K</t>
  </si>
  <si>
    <t>SAM 93054</t>
  </si>
  <si>
    <t>Knorr-Bremse AG</t>
  </si>
  <si>
    <t>SAM 100227</t>
  </si>
  <si>
    <t>NMC Health PLC</t>
  </si>
  <si>
    <t>SAM 99868</t>
  </si>
  <si>
    <t>Davide Campari-Milano SpA</t>
  </si>
  <si>
    <t>SAM 99547</t>
  </si>
  <si>
    <t>Sumitomo Heavy</t>
  </si>
  <si>
    <t>SAM 93043</t>
  </si>
  <si>
    <t>Siemens Gamesa Renewable Energy SA</t>
  </si>
  <si>
    <t>SAM 93336</t>
  </si>
  <si>
    <t>Indocement Tunggal Prakarsa</t>
  </si>
  <si>
    <t>SAM 94043</t>
  </si>
  <si>
    <t>Chiba Bank</t>
  </si>
  <si>
    <t>SAM 92540</t>
  </si>
  <si>
    <t>Alps Electric Co Ltd</t>
  </si>
  <si>
    <t>SAM 91005</t>
  </si>
  <si>
    <t>Gail India</t>
  </si>
  <si>
    <t>SAM 96802</t>
  </si>
  <si>
    <t>Vipshop Holdings Ltd</t>
  </si>
  <si>
    <t>SAM 98969</t>
  </si>
  <si>
    <t>Boral</t>
  </si>
  <si>
    <t>SAM 92557</t>
  </si>
  <si>
    <t>Hugo Boss AG</t>
  </si>
  <si>
    <t>SAM 92992</t>
  </si>
  <si>
    <t>Singapore Press Holdings</t>
  </si>
  <si>
    <t>SAM 54881</t>
  </si>
  <si>
    <t>Securitas B</t>
  </si>
  <si>
    <t>SAM 52080</t>
  </si>
  <si>
    <t>Lennox International Inc</t>
  </si>
  <si>
    <t>SAM 99410</t>
  </si>
  <si>
    <t>Fletcher Building</t>
  </si>
  <si>
    <t>SAM 91080</t>
  </si>
  <si>
    <t>Stora Enso</t>
  </si>
  <si>
    <t>SAM 920040</t>
  </si>
  <si>
    <t>Brighthouse Financial Inc</t>
  </si>
  <si>
    <t>SAM 99455</t>
  </si>
  <si>
    <t>Red Electrica Corporation SA</t>
  </si>
  <si>
    <t>SAM 94951</t>
  </si>
  <si>
    <t>LG Innotek Co Ltd</t>
  </si>
  <si>
    <t>SAM 97356</t>
  </si>
  <si>
    <t>Hysan Development</t>
  </si>
  <si>
    <t>SAM 60700</t>
  </si>
  <si>
    <t>Mitsui Chemicals</t>
  </si>
  <si>
    <t>SAM 93114</t>
  </si>
  <si>
    <t>Indiabulls Housing Finance Ltd</t>
  </si>
  <si>
    <t>SAM 98869</t>
  </si>
  <si>
    <t>Toyoda Gosei</t>
  </si>
  <si>
    <t>SAM 91378</t>
  </si>
  <si>
    <t>Isetan Mitsukoshi Holding</t>
  </si>
  <si>
    <t>SAM 67470</t>
  </si>
  <si>
    <t>Murphy Oil</t>
  </si>
  <si>
    <t>SAM 91266</t>
  </si>
  <si>
    <t>Rollins Inc</t>
  </si>
  <si>
    <t>SAM 99425</t>
  </si>
  <si>
    <t>Tosoh</t>
  </si>
  <si>
    <t>SAM 91032</t>
  </si>
  <si>
    <t>Hiroshima Bank</t>
  </si>
  <si>
    <t>SAM 94643</t>
  </si>
  <si>
    <t>Nokian Renkaat</t>
  </si>
  <si>
    <t>SAM 92447</t>
  </si>
  <si>
    <t>Macquarie Infrastructure Corp</t>
  </si>
  <si>
    <t>SAM 99252</t>
  </si>
  <si>
    <t>Tingyi Cayman Islands Holding Corp</t>
  </si>
  <si>
    <t>SAM 91784</t>
  </si>
  <si>
    <t>Bank of Ireland Group PLC</t>
  </si>
  <si>
    <t>SAM 99443</t>
  </si>
  <si>
    <t>Capitec Bank Holdings Ltd</t>
  </si>
  <si>
    <t>SAM 98797</t>
  </si>
  <si>
    <t>Seiko Epson</t>
  </si>
  <si>
    <t>SAM 92570</t>
  </si>
  <si>
    <t>Kajima</t>
  </si>
  <si>
    <t>SAM 58230</t>
  </si>
  <si>
    <t>Kuraray</t>
  </si>
  <si>
    <t>SAM 91030</t>
  </si>
  <si>
    <t>Metro AG</t>
  </si>
  <si>
    <t>SAM 99448</t>
  </si>
  <si>
    <t>Investec Ltd SA</t>
  </si>
  <si>
    <t>SAM 95472</t>
  </si>
  <si>
    <t>Hong Leong Bank</t>
  </si>
  <si>
    <t>SAM 96405</t>
  </si>
  <si>
    <t>Bayerische Motoren Werke AG (pref shs)</t>
  </si>
  <si>
    <t>SAM 94857</t>
  </si>
  <si>
    <t>Investec Plc</t>
  </si>
  <si>
    <t>SAM 94221</t>
  </si>
  <si>
    <t>LPP SA</t>
  </si>
  <si>
    <t>SAM 98536</t>
  </si>
  <si>
    <t>Alibaba Health Information Tec</t>
  </si>
  <si>
    <t>SAM 98439</t>
  </si>
  <si>
    <t>PLDT Inc</t>
  </si>
  <si>
    <t>SAM 91348</t>
  </si>
  <si>
    <t>JSR Corp</t>
  </si>
  <si>
    <t>SAM 93151</t>
  </si>
  <si>
    <t>Yue Yuen Industrial Holdings</t>
  </si>
  <si>
    <t>SAM 52480</t>
  </si>
  <si>
    <t>China Vanke Co Ltd</t>
  </si>
  <si>
    <t>SAM 98497</t>
  </si>
  <si>
    <t>Dali Foods Group Co Ltd</t>
  </si>
  <si>
    <t>SAM 99788</t>
  </si>
  <si>
    <t>SJM Holdings Ltd</t>
  </si>
  <si>
    <t>SAM 97509</t>
  </si>
  <si>
    <t>PeptiDream Inc</t>
  </si>
  <si>
    <t>SAM 100211</t>
  </si>
  <si>
    <t>PTC Inc</t>
  </si>
  <si>
    <t>SAM 99995</t>
  </si>
  <si>
    <t>Bank Negara Indonesia</t>
  </si>
  <si>
    <t>SAM 96147</t>
  </si>
  <si>
    <t>Persol Holdings Co Ltd</t>
  </si>
  <si>
    <t>SAM 99561</t>
  </si>
  <si>
    <t>Blackberry Ltd (CAD)</t>
  </si>
  <si>
    <t>SAM 93781</t>
  </si>
  <si>
    <t>Proximus SADP</t>
  </si>
  <si>
    <t>SAM 92891</t>
  </si>
  <si>
    <t>Semiconductor Manufacturing International Corp</t>
  </si>
  <si>
    <t>SAM 96113</t>
  </si>
  <si>
    <t>Ryohin Keikaku</t>
  </si>
  <si>
    <t>SAM 93405</t>
  </si>
  <si>
    <t>AO Smith Corp</t>
  </si>
  <si>
    <t>SAM 99077</t>
  </si>
  <si>
    <t>Nabtesco Corp</t>
  </si>
  <si>
    <t>SAM 97874</t>
  </si>
  <si>
    <t>Taylor Wimpey</t>
  </si>
  <si>
    <t>SAM 92642</t>
  </si>
  <si>
    <t>Grasim Industries Ltd</t>
  </si>
  <si>
    <t>SAM 96804</t>
  </si>
  <si>
    <t>KION Group AG</t>
  </si>
  <si>
    <t>SAM 99461</t>
  </si>
  <si>
    <t>Konica Minolta Inc</t>
  </si>
  <si>
    <t>SAM 92190</t>
  </si>
  <si>
    <t>Haitong Securities Co Ltd</t>
  </si>
  <si>
    <t>SAM 98043</t>
  </si>
  <si>
    <t>PG&amp;E Corp</t>
  </si>
  <si>
    <t>SAM 91128</t>
  </si>
  <si>
    <t>Redefine Properties Ltd (REIT)</t>
  </si>
  <si>
    <t>SAM 97161</t>
  </si>
  <si>
    <t>Pola Orbis Holdings Inc</t>
  </si>
  <si>
    <t>SAM 99091</t>
  </si>
  <si>
    <t>China Resources Pharmaceutical Group Ltd</t>
  </si>
  <si>
    <t>SAM 99537</t>
  </si>
  <si>
    <t>Mitsubishi Motors</t>
  </si>
  <si>
    <t>SAM 92724</t>
  </si>
  <si>
    <t>Jiangsu Expressway Company Ltd</t>
  </si>
  <si>
    <t>SAM 93776</t>
  </si>
  <si>
    <t>TIGER BRANDS</t>
  </si>
  <si>
    <t>SAM 97172</t>
  </si>
  <si>
    <t>Klabin SA</t>
  </si>
  <si>
    <t>SAM 98431</t>
  </si>
  <si>
    <t>Kobe Steel</t>
  </si>
  <si>
    <t>SAM 93364</t>
  </si>
  <si>
    <t>GRUBHUB INC</t>
  </si>
  <si>
    <t>SAM 100033</t>
  </si>
  <si>
    <t>SINOPHARM GROUP CO H</t>
  </si>
  <si>
    <t>SAM 96103</t>
  </si>
  <si>
    <t>National Bank of Greece</t>
  </si>
  <si>
    <t>SAM 91945</t>
  </si>
  <si>
    <t>China Railway Construction Corp Ltd</t>
  </si>
  <si>
    <t>SAM 95629</t>
  </si>
  <si>
    <t>Takashimaya</t>
  </si>
  <si>
    <t>SAM 66360</t>
  </si>
  <si>
    <t>Grupo Argos SA</t>
  </si>
  <si>
    <t>SAM 97224</t>
  </si>
  <si>
    <t>MGM China Holdings Ltd</t>
  </si>
  <si>
    <t>SAM 97841</t>
  </si>
  <si>
    <t>Hang Lung Group</t>
  </si>
  <si>
    <t>SAM 94806</t>
  </si>
  <si>
    <t>IHI Corp</t>
  </si>
  <si>
    <t>SAM 92189</t>
  </si>
  <si>
    <t>H. Lundbeck A/S</t>
  </si>
  <si>
    <t>SAM 91248</t>
  </si>
  <si>
    <t>Rexel SA</t>
  </si>
  <si>
    <t>SAM 95232</t>
  </si>
  <si>
    <t>Sprint Corp</t>
  </si>
  <si>
    <t>SAM 98273</t>
  </si>
  <si>
    <t>Netmarble Games Corp</t>
  </si>
  <si>
    <t>SAM 99399</t>
  </si>
  <si>
    <t>Hochtief</t>
  </si>
  <si>
    <t>SAM 93718</t>
  </si>
  <si>
    <t>Smurfit Kappa Group PLC</t>
  </si>
  <si>
    <t>SAM 99854</t>
  </si>
  <si>
    <t>Yamana Gold Inc.</t>
  </si>
  <si>
    <t>SAM 95147</t>
  </si>
  <si>
    <t>RMB HOLDINGS</t>
  </si>
  <si>
    <t>SAM 97164</t>
  </si>
  <si>
    <t>Quilter PLC</t>
  </si>
  <si>
    <t>SAM 99898</t>
  </si>
  <si>
    <t>Telefonica Deutschland Holding AG</t>
  </si>
  <si>
    <t>SAM 98237</t>
  </si>
  <si>
    <t>Affiliated Managers Group Inc</t>
  </si>
  <si>
    <t>SAM 97781</t>
  </si>
  <si>
    <t>Worldline SA/France</t>
  </si>
  <si>
    <t>SAM 100121</t>
  </si>
  <si>
    <t>ISS A/S</t>
  </si>
  <si>
    <t>SAM 98418</t>
  </si>
  <si>
    <t>Zhuzhou CRRC Times Electric Co Ltd</t>
  </si>
  <si>
    <t>SAM 96229</t>
  </si>
  <si>
    <t>Hammerson PLC (REIT)</t>
  </si>
  <si>
    <t>SAM 92547</t>
  </si>
  <si>
    <t>China Cinda Asset Management Co Ltd</t>
  </si>
  <si>
    <t>SAM 98412</t>
  </si>
  <si>
    <t>Tripadvisor</t>
  </si>
  <si>
    <t>SAM 97663</t>
  </si>
  <si>
    <t>iQIYI Inc</t>
  </si>
  <si>
    <t>SAM 100089</t>
  </si>
  <si>
    <t>Erie Indemnity Co</t>
  </si>
  <si>
    <t>SAM 100195</t>
  </si>
  <si>
    <t>Vitasoy International Holdings Ltd</t>
  </si>
  <si>
    <t>SAM 100189</t>
  </si>
  <si>
    <t>Mondi PLC</t>
  </si>
  <si>
    <t>SAM 100313</t>
  </si>
  <si>
    <t>Hutchison Port Hld</t>
  </si>
  <si>
    <t>SAM 97495</t>
  </si>
  <si>
    <t>UNDER ARMOUR INC-CLASS A</t>
  </si>
  <si>
    <t>SAM 98037</t>
  </si>
  <si>
    <t>Shimamura</t>
  </si>
  <si>
    <t>SAM 91656</t>
  </si>
  <si>
    <t>Tim Participacoes SA New</t>
  </si>
  <si>
    <t>SAM 97600</t>
  </si>
  <si>
    <t>Alkermes PLC</t>
  </si>
  <si>
    <t>SAM 94618</t>
  </si>
  <si>
    <t>Wyndham Hotels &amp; Resorts Inc</t>
  </si>
  <si>
    <t>SAM 99709</t>
  </si>
  <si>
    <t>Qurate Retail Inc</t>
  </si>
  <si>
    <t>SAM 94115</t>
  </si>
  <si>
    <t>Polskie Gornictwo Naftowe I</t>
  </si>
  <si>
    <t>SAM 97108</t>
  </si>
  <si>
    <t>HLB Inc</t>
  </si>
  <si>
    <t>SAM 99771</t>
  </si>
  <si>
    <t>CyberAgent Inc</t>
  </si>
  <si>
    <t>SAM 99837</t>
  </si>
  <si>
    <t>Beijing Enterprises Water Group Ltd</t>
  </si>
  <si>
    <t>SAM 98349</t>
  </si>
  <si>
    <t>Wharf</t>
  </si>
  <si>
    <t>SAM 67370</t>
  </si>
  <si>
    <t>HOTAI MOTOR COMPANY LTD</t>
  </si>
  <si>
    <t>SAM 97655</t>
  </si>
  <si>
    <t>Foschini Group Ltd</t>
  </si>
  <si>
    <t>SAM 97188</t>
  </si>
  <si>
    <t>China Merchants Holding</t>
  </si>
  <si>
    <t>SAM 67460</t>
  </si>
  <si>
    <t>ConvaTec Group PLC</t>
  </si>
  <si>
    <t>SAM 99403</t>
  </si>
  <si>
    <t>Kingsoft Corp Ltd</t>
  </si>
  <si>
    <t>SAM 98465</t>
  </si>
  <si>
    <t>SAM 95173</t>
  </si>
  <si>
    <t>Kroton Educacional SA</t>
  </si>
  <si>
    <t>SAM 98050</t>
  </si>
  <si>
    <t>Alibaba Pictures Group Ltd</t>
  </si>
  <si>
    <t>SAM 98515</t>
  </si>
  <si>
    <t>MR PRICE GROUP LTD</t>
  </si>
  <si>
    <t>SAM 97888</t>
  </si>
  <si>
    <t>UNDER ARMOUR INC-CLASS C</t>
  </si>
  <si>
    <t>SAM 99026</t>
  </si>
  <si>
    <t>Hitachi Constr. Machine</t>
  </si>
  <si>
    <t>SAM 93174</t>
  </si>
  <si>
    <t>Cimarex Energy Co</t>
  </si>
  <si>
    <t>SAM 94256</t>
  </si>
  <si>
    <t>mBank SA</t>
  </si>
  <si>
    <t>SAM 97089</t>
  </si>
  <si>
    <t>ZILLOW GROUP INC</t>
  </si>
  <si>
    <t>SAM 98860</t>
  </si>
  <si>
    <t>Netcare Ltd</t>
  </si>
  <si>
    <t>SAM 97203</t>
  </si>
  <si>
    <t>Huatai Securities Co Ltd</t>
  </si>
  <si>
    <t>SAM 98834</t>
  </si>
  <si>
    <t>Core Laboratories N.V.</t>
  </si>
  <si>
    <t>SAM 97785</t>
  </si>
  <si>
    <t>Wyndham Destinations Inc</t>
  </si>
  <si>
    <t>SAM 94316</t>
  </si>
  <si>
    <t>GOME Electrical Appliances Holding Ltd</t>
  </si>
  <si>
    <t>SAM 95931</t>
  </si>
  <si>
    <t>Minth Group Ltd</t>
  </si>
  <si>
    <t>SAM 99422</t>
  </si>
  <si>
    <t>Sumco</t>
  </si>
  <si>
    <t>SAM 94071</t>
  </si>
  <si>
    <t>Aspen Pharmacare Holdings</t>
  </si>
  <si>
    <t>SAM 97182</t>
  </si>
  <si>
    <t>Guangzhou Automobile Group-H</t>
  </si>
  <si>
    <t>SAM 97343</t>
  </si>
  <si>
    <t>Colony Capital Inc-CLASS A</t>
  </si>
  <si>
    <t>SAM 99269</t>
  </si>
  <si>
    <t>Kingboard Chemical Holdings</t>
  </si>
  <si>
    <t>SAM 93361</t>
  </si>
  <si>
    <t>MMG Ltd</t>
  </si>
  <si>
    <t>SAM 97820</t>
  </si>
  <si>
    <t>Kontoor Brands Inc</t>
  </si>
  <si>
    <t>SAM 100182</t>
  </si>
  <si>
    <t>CHINA STATE CONSTRUCTION INT</t>
  </si>
  <si>
    <t>SAM 97837</t>
  </si>
  <si>
    <t>CHINA LONGYUAN POWER H</t>
  </si>
  <si>
    <t>SAM 95740</t>
  </si>
  <si>
    <t>Cosco Pacific</t>
  </si>
  <si>
    <t>SAM 63740</t>
  </si>
  <si>
    <t>Macerich Co (REIT)</t>
  </si>
  <si>
    <t>SAM 93668</t>
  </si>
  <si>
    <t>AIB Group PLC</t>
  </si>
  <si>
    <t>SAM 99590</t>
  </si>
  <si>
    <t>Shangri-La Asia</t>
  </si>
  <si>
    <t>SAM 56970</t>
  </si>
  <si>
    <t>Continental Resources Inc/ok</t>
  </si>
  <si>
    <t>SAM 95231</t>
  </si>
  <si>
    <t>Apergy Corp</t>
  </si>
  <si>
    <t>SAM 99691</t>
  </si>
  <si>
    <t>Spectrum Brands Holdings Inc</t>
  </si>
  <si>
    <t>SAM 99918</t>
  </si>
  <si>
    <t>Country Garden Services Holdings Co Ltd</t>
  </si>
  <si>
    <t>SAM 99883</t>
  </si>
  <si>
    <t>ALTICE EUROPE NV</t>
  </si>
  <si>
    <t>SAM 98858</t>
  </si>
  <si>
    <t>YPF SA</t>
  </si>
  <si>
    <t>SAM 98678</t>
  </si>
  <si>
    <t>Argentina</t>
  </si>
  <si>
    <t>AR</t>
  </si>
  <si>
    <t>SINA Corp/China</t>
  </si>
  <si>
    <t>SAM 99242</t>
  </si>
  <si>
    <t>China Oriental Group Co Ltd</t>
  </si>
  <si>
    <t>SAM 100019</t>
  </si>
  <si>
    <t>Moneta Money Bank AS</t>
  </si>
  <si>
    <t>SAM 99229</t>
  </si>
  <si>
    <t>Pampa Energia SA</t>
  </si>
  <si>
    <t>SAM 100214</t>
  </si>
  <si>
    <t>Banco Macro SA-Adr</t>
  </si>
  <si>
    <t>SAM 96744</t>
  </si>
  <si>
    <t>New China Life Insurance Co Ltd</t>
  </si>
  <si>
    <t>SAM 98042</t>
  </si>
  <si>
    <t>Swatch Group</t>
  </si>
  <si>
    <t>SAM 91796</t>
  </si>
  <si>
    <t>Turquoise Hill Resources Ltd</t>
  </si>
  <si>
    <t>SAM 93573</t>
  </si>
  <si>
    <t>Tupras-Rurkiye Petrol Rafinerileri</t>
  </si>
  <si>
    <t>SAM 97114</t>
  </si>
  <si>
    <t>YY Inc</t>
  </si>
  <si>
    <t>SAM 98970</t>
  </si>
  <si>
    <t>YAPI VE KREDI BANKASI</t>
  </si>
  <si>
    <t>SAM 97133</t>
  </si>
  <si>
    <t>Mediclinic International PLC</t>
  </si>
  <si>
    <t>SAM 99013</t>
  </si>
  <si>
    <t>Amorepacific Group</t>
  </si>
  <si>
    <t>SAM 97952</t>
  </si>
  <si>
    <t>Patterson Cos</t>
  </si>
  <si>
    <t>SAM 93392</t>
  </si>
  <si>
    <t>Drillisch AG</t>
  </si>
  <si>
    <t>SAM 99542</t>
  </si>
  <si>
    <t>Iliad</t>
  </si>
  <si>
    <t>SAM 92736</t>
  </si>
  <si>
    <t>Life Healthcare Group Holdings Pte Ltd.</t>
  </si>
  <si>
    <t>SAM 97889</t>
  </si>
  <si>
    <t>Sinopec Shanghai Petrochemical</t>
  </si>
  <si>
    <t>SAM 92374</t>
  </si>
  <si>
    <t>Turkiye Is Bankasi</t>
  </si>
  <si>
    <t>SAM 97130</t>
  </si>
  <si>
    <t>TravelSky Technology Ltd</t>
  </si>
  <si>
    <t>SAM 92466</t>
  </si>
  <si>
    <t>Zhejiang Expressway Co-H</t>
  </si>
  <si>
    <t>SAM 95341</t>
  </si>
  <si>
    <t>Shanghai Electric</t>
  </si>
  <si>
    <t>SAM 93755</t>
  </si>
  <si>
    <t>NIO Inc</t>
  </si>
  <si>
    <t>SAM 100234</t>
  </si>
  <si>
    <t>Veoneer Inc</t>
  </si>
  <si>
    <t>SAM 99905</t>
  </si>
  <si>
    <t>Celltrion Healthcare Co Ltd</t>
  </si>
  <si>
    <t>SAM 99533</t>
  </si>
  <si>
    <t>Truworths International Ltd</t>
  </si>
  <si>
    <t>SAM 97173</t>
  </si>
  <si>
    <t>GF Securities Co Ltd</t>
  </si>
  <si>
    <t>SAM 98783</t>
  </si>
  <si>
    <t>CommScope Holding Co Inc</t>
  </si>
  <si>
    <t>SAM 99419</t>
  </si>
  <si>
    <t>China Everbright Ltd</t>
  </si>
  <si>
    <t>SAM 95711</t>
  </si>
  <si>
    <t>China Galaxy Securities Co Ltd</t>
  </si>
  <si>
    <t>SAM 98613</t>
  </si>
  <si>
    <t>E-Mart co Ltd</t>
  </si>
  <si>
    <t>SAM 97571</t>
  </si>
  <si>
    <t>SAM 99606</t>
  </si>
  <si>
    <t>Discovery Limited</t>
  </si>
  <si>
    <t>SAM 97185</t>
  </si>
  <si>
    <t>Rand Merchant Investment Holdings Ltd</t>
  </si>
  <si>
    <t>SAM 97494</t>
  </si>
  <si>
    <t>Weibo Corp</t>
  </si>
  <si>
    <t>SAM 99251</t>
  </si>
  <si>
    <t>Sharp</t>
  </si>
  <si>
    <t>SAM 54100</t>
  </si>
  <si>
    <t>Indah Kiat Pulp &amp; Paper Corp Tbk PT</t>
  </si>
  <si>
    <t>SAM 99838</t>
  </si>
  <si>
    <t>Peyto Exploration &amp; Development Corp</t>
  </si>
  <si>
    <t>SAM 98217</t>
  </si>
  <si>
    <t>BEIJING CAP INT'L AIRP H</t>
  </si>
  <si>
    <t>SAM 95758</t>
  </si>
  <si>
    <t>Bed Bath &amp; Beyond Inc</t>
  </si>
  <si>
    <t>SAM 92380</t>
  </si>
  <si>
    <t>Sappi Ltd</t>
  </si>
  <si>
    <t>SAM 97166</t>
  </si>
  <si>
    <t>IGM Financial Inc</t>
  </si>
  <si>
    <t>SAM 92793</t>
  </si>
  <si>
    <t>TURKIYE HALK BANKASI</t>
  </si>
  <si>
    <t>SAM 97129</t>
  </si>
  <si>
    <t>Turkiye Vakiflar Bankasi Tao</t>
  </si>
  <si>
    <t>SAM 97132</t>
  </si>
  <si>
    <t>Drilling Co of 1972 A/S/The</t>
  </si>
  <si>
    <t>SAM 100110</t>
  </si>
  <si>
    <t>Tofas Turk Otomobil Fabrikasi AS</t>
  </si>
  <si>
    <t>SAM 98024</t>
  </si>
  <si>
    <t>Delphi Technologies PLC</t>
  </si>
  <si>
    <t>SAM 99583</t>
  </si>
  <si>
    <t>Motus Holdings Ltd</t>
  </si>
  <si>
    <t>SAM 99981</t>
  </si>
  <si>
    <t>Helixmith Co Ltd</t>
  </si>
  <si>
    <t>SAM 99833</t>
  </si>
  <si>
    <t>Covetrus Inc</t>
  </si>
  <si>
    <t>SAM 100076</t>
  </si>
  <si>
    <t>Kingston Financial Group Ltd</t>
  </si>
  <si>
    <t>SAM 99563</t>
  </si>
  <si>
    <t>Livent Corp</t>
  </si>
  <si>
    <t>SAM 100093</t>
  </si>
  <si>
    <t>Aozora Bank Ltd</t>
  </si>
  <si>
    <t>SAM 54850</t>
  </si>
  <si>
    <t>IMPERIAL HOLDINGS</t>
  </si>
  <si>
    <t>SAM 97194</t>
  </si>
  <si>
    <t>Li &amp; Fung</t>
  </si>
  <si>
    <t>SAM 67180</t>
  </si>
  <si>
    <t>GCL-Poly Energy Holdings Ltd</t>
  </si>
  <si>
    <t>SAM 95894</t>
  </si>
  <si>
    <t>Onex Corp</t>
  </si>
  <si>
    <t>SAM 92833</t>
  </si>
  <si>
    <t>SillaJen Inc</t>
  </si>
  <si>
    <t>SAM 99530</t>
  </si>
  <si>
    <t>Suruga Bank</t>
  </si>
  <si>
    <t>SAM 93041</t>
  </si>
  <si>
    <t>Yes Bank Ltd</t>
  </si>
  <si>
    <t>SAM 98341</t>
  </si>
  <si>
    <t>SAM 100321</t>
  </si>
  <si>
    <t>Oceana Group Ltd</t>
  </si>
  <si>
    <t>SAM 100120</t>
  </si>
  <si>
    <t>Fullshare Holdings Ltd</t>
  </si>
  <si>
    <t>SAM 99222</t>
  </si>
  <si>
    <t>Mallinckrodt Plc</t>
  </si>
  <si>
    <t>SAM 98261</t>
  </si>
  <si>
    <t>Steinhoff International Holdings N.V</t>
  </si>
  <si>
    <t>SAM 98927</t>
  </si>
  <si>
    <t>Nordic Entertainment Group AB</t>
  </si>
  <si>
    <t>SAM 100102</t>
  </si>
  <si>
    <t>Lennar Corp</t>
  </si>
  <si>
    <t>SAM 99516</t>
  </si>
  <si>
    <t>TATA STEEL LTD-PARTLY PAID</t>
  </si>
  <si>
    <t>SAM 99669</t>
  </si>
  <si>
    <t>OneMarket Ltd</t>
  </si>
  <si>
    <t>SAM 99706</t>
  </si>
  <si>
    <t>Modern Times Group B</t>
  </si>
  <si>
    <t>SAM 63692</t>
  </si>
  <si>
    <t>Novus Holdings Ltd</t>
  </si>
  <si>
    <t>SAM 99468</t>
  </si>
  <si>
    <t>I-Cable Communications</t>
  </si>
  <si>
    <t>SAM 91453</t>
  </si>
  <si>
    <t>65518862</t>
  </si>
  <si>
    <t>SAM 8309001</t>
  </si>
  <si>
    <t>Cash</t>
  </si>
  <si>
    <t>Bank account</t>
  </si>
  <si>
    <t>65518875</t>
  </si>
  <si>
    <t>SAM 8309302</t>
  </si>
  <si>
    <t>65518865</t>
  </si>
  <si>
    <t>SAM 8308973</t>
  </si>
  <si>
    <t>65518883</t>
  </si>
  <si>
    <t>SAM 8309303</t>
  </si>
  <si>
    <t>65518882</t>
  </si>
  <si>
    <t>SAM 8309299</t>
  </si>
  <si>
    <t>65518859</t>
  </si>
  <si>
    <t>SAM 8308969</t>
  </si>
  <si>
    <t>65518877</t>
  </si>
  <si>
    <t>SAM 8309265</t>
  </si>
  <si>
    <t>65518856</t>
  </si>
  <si>
    <t>SAM 8308967</t>
  </si>
  <si>
    <t>65518872</t>
  </si>
  <si>
    <t>SAM 8309300</t>
  </si>
  <si>
    <t>65518885</t>
  </si>
  <si>
    <t>SAM 8309269</t>
  </si>
  <si>
    <t>65518870</t>
  </si>
  <si>
    <t>SAM 8309231</t>
  </si>
  <si>
    <t>65518884</t>
  </si>
  <si>
    <t>SAM 8309270</t>
  </si>
  <si>
    <t>65518867</t>
  </si>
  <si>
    <t>SAM 8309227</t>
  </si>
  <si>
    <t>65519756</t>
  </si>
  <si>
    <t>SAM 8309224</t>
  </si>
  <si>
    <t>65518879</t>
  </si>
  <si>
    <t>SAM 8309272</t>
  </si>
  <si>
    <t>65518874</t>
  </si>
  <si>
    <t>SAM 8309301</t>
  </si>
  <si>
    <t>65518873</t>
  </si>
  <si>
    <t>SAM 8309233</t>
  </si>
  <si>
    <t>65518861</t>
  </si>
  <si>
    <t>SAM 8308971</t>
  </si>
  <si>
    <t>65518866</t>
  </si>
  <si>
    <t>SAM 8309235</t>
  </si>
  <si>
    <t>65518876</t>
  </si>
  <si>
    <t>SAM 8309271</t>
  </si>
  <si>
    <t>65518880</t>
  </si>
  <si>
    <t>SAM 8309268</t>
  </si>
  <si>
    <t>65518887</t>
  </si>
  <si>
    <t>SAM 8309304</t>
  </si>
  <si>
    <t>65518869</t>
  </si>
  <si>
    <t>SAM 8309228</t>
  </si>
  <si>
    <t>65518871</t>
  </si>
  <si>
    <t>SAM 8309226</t>
  </si>
  <si>
    <t>65518863</t>
  </si>
  <si>
    <t>SAM 8309234</t>
  </si>
  <si>
    <t>65518886</t>
  </si>
  <si>
    <t>SAM 8309273</t>
  </si>
  <si>
    <t>65518868</t>
  </si>
  <si>
    <t>SAM 8309225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</si>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</sst>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#,##0.00%;\-#,##0.00%;#,##0.00%"/>
  </numFmts>
  <fonts count="6">
    <font>
      <sz val="11"/>
      <color theme="1"/>
      <name val="Calibri"/>
    </font>
    <font>
      <sz val="12"/>
      <color rgb="FFDA291C"/>
      <name val="SignaColumn-Book"/>
    </font>
    <font>
      <sz val="10"/>
      <color rgb="FF000000"/>
      <name val="SansSerif"/>
      <family val="2"/>
    </font>
    <font>
      <sz val="8"/>
      <color rgb="FF000000"/>
      <name val="SignaColumn-Book"/>
    </font>
    <font>
      <b/>
      <sz val="10"/>
      <color rgb="FF000000"/>
      <name val="SignaColumn-Book"/>
    </font>
    <font>
      <b/>
      <sz val="8"/>
      <color rgb="FF000000"/>
      <name val="SignaColumn-Book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7" fontId="3" fillId="0" borderId="0" xfId="0" applyNumberFormat="1" applyFont="1" applyBorder="1" applyAlignment="1">
      <alignment horizontal="right" wrapText="1"/>
    </xf>
    <xf numFmtId="39" fontId="3" fillId="0" borderId="0" xfId="0" applyNumberFormat="1" applyFont="1" applyBorder="1" applyAlignment="1">
      <alignment horizontal="right" wrapText="1"/>
    </xf>
    <xf numFmtId="165" fontId="3" fillId="0" borderId="3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37" fontId="5" fillId="0" borderId="5" xfId="0" applyNumberFormat="1" applyFont="1" applyBorder="1" applyAlignment="1">
      <alignment horizontal="right" wrapText="1"/>
    </xf>
    <xf numFmtId="165" fontId="5" fillId="0" borderId="6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104"/>
  <sheetViews>
    <sheetView tabSelected="1" workbookViewId="0">
      <selection activeCell="A8" sqref="A8"/>
    </sheetView>
  </sheetViews>
  <sheetFormatPr defaultColWidth="9.109375" defaultRowHeight="14.4"/>
  <cols>
    <col min="1" max="1" width="57.109375" customWidth="1"/>
    <col min="2" max="5" width="19" customWidth="1"/>
    <col min="6" max="6" width="19.109375" customWidth="1"/>
    <col min="7" max="9" width="19" customWidth="1"/>
    <col min="10" max="10" width="19.109375" customWidth="1"/>
    <col min="11" max="12" width="19" customWidth="1"/>
  </cols>
  <sheetData>
    <row r="1" spans="1:12" ht="15.6">
      <c r="A1" s="13" t="s">
        <v>0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</row>
    <row r="2" spans="1:12" ht="15.6">
      <c r="A2" s="13" t="s">
        <v>1</v>
      </c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15">
        <v>43738</v>
      </c>
      <c r="B3" s="15"/>
      <c r="C3" s="15"/>
      <c r="D3" s="14"/>
      <c r="E3" s="14"/>
      <c r="F3" s="14"/>
      <c r="G3" s="14"/>
      <c r="H3" s="14"/>
      <c r="I3" s="14"/>
      <c r="J3" s="14"/>
      <c r="K3" s="14"/>
      <c r="L3" s="14"/>
    </row>
    <row r="4" spans="1:12" ht="21.6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</row>
    <row r="5" spans="1:12">
      <c r="A5" s="3" t="s">
        <v>14</v>
      </c>
      <c r="B5" s="4" t="s">
        <v>15</v>
      </c>
      <c r="C5" s="4"/>
      <c r="D5" s="4"/>
      <c r="E5" s="4"/>
      <c r="F5" s="4" t="s">
        <v>16</v>
      </c>
      <c r="G5" s="4" t="s">
        <v>17</v>
      </c>
      <c r="H5" s="5">
        <f t="shared" ref="H5:H12" si="0">ROUND(0,0)</f>
        <v>0</v>
      </c>
      <c r="I5" s="6">
        <f t="shared" ref="I5:J10" si="1">ROUND(0,2)</f>
        <v>0</v>
      </c>
      <c r="J5" s="6">
        <f t="shared" si="1"/>
        <v>0</v>
      </c>
      <c r="K5" s="5">
        <f>ROUND(677343.665,0)</f>
        <v>677344</v>
      </c>
      <c r="L5" s="7">
        <f>ROUND(0.000235405829248719,4)</f>
        <v>2.0000000000000001E-4</v>
      </c>
    </row>
    <row r="6" spans="1:12">
      <c r="A6" s="3" t="s">
        <v>14</v>
      </c>
      <c r="B6" s="4" t="s">
        <v>15</v>
      </c>
      <c r="C6" s="4"/>
      <c r="D6" s="4"/>
      <c r="E6" s="4"/>
      <c r="F6" s="4" t="s">
        <v>18</v>
      </c>
      <c r="G6" s="4" t="s">
        <v>17</v>
      </c>
      <c r="H6" s="5">
        <f t="shared" si="0"/>
        <v>0</v>
      </c>
      <c r="I6" s="6">
        <f t="shared" si="1"/>
        <v>0</v>
      </c>
      <c r="J6" s="6">
        <f t="shared" si="1"/>
        <v>0</v>
      </c>
      <c r="K6" s="5">
        <f>ROUND(544172.51,0)</f>
        <v>544173</v>
      </c>
      <c r="L6" s="7">
        <f>ROUND(0.000189123169803186,4)</f>
        <v>2.0000000000000001E-4</v>
      </c>
    </row>
    <row r="7" spans="1:12">
      <c r="A7" s="3" t="s">
        <v>14</v>
      </c>
      <c r="B7" s="4" t="s">
        <v>15</v>
      </c>
      <c r="C7" s="4"/>
      <c r="D7" s="4"/>
      <c r="E7" s="4"/>
      <c r="F7" s="4" t="s">
        <v>19</v>
      </c>
      <c r="G7" s="4" t="s">
        <v>17</v>
      </c>
      <c r="H7" s="5">
        <f t="shared" si="0"/>
        <v>0</v>
      </c>
      <c r="I7" s="6">
        <f t="shared" si="1"/>
        <v>0</v>
      </c>
      <c r="J7" s="6">
        <f t="shared" si="1"/>
        <v>0</v>
      </c>
      <c r="K7" s="5">
        <f>ROUND(76613.799,0)</f>
        <v>76614</v>
      </c>
      <c r="L7" s="7">
        <f>ROUND(0.0000266265646486702,4)</f>
        <v>0</v>
      </c>
    </row>
    <row r="8" spans="1:12">
      <c r="A8" s="3" t="s">
        <v>14</v>
      </c>
      <c r="B8" s="4" t="s">
        <v>15</v>
      </c>
      <c r="C8" s="4"/>
      <c r="D8" s="4"/>
      <c r="E8" s="4"/>
      <c r="F8" s="4" t="s">
        <v>20</v>
      </c>
      <c r="G8" s="4" t="s">
        <v>17</v>
      </c>
      <c r="H8" s="5">
        <f t="shared" si="0"/>
        <v>0</v>
      </c>
      <c r="I8" s="6">
        <f t="shared" si="1"/>
        <v>0</v>
      </c>
      <c r="J8" s="6">
        <f t="shared" si="1"/>
        <v>0</v>
      </c>
      <c r="K8" s="5">
        <f>ROUND(8409.319,0)</f>
        <v>8409</v>
      </c>
      <c r="L8" s="7">
        <f>ROUND(2.92259722044055E-06,4)</f>
        <v>0</v>
      </c>
    </row>
    <row r="9" spans="1:12">
      <c r="A9" s="3" t="s">
        <v>14</v>
      </c>
      <c r="B9" s="4" t="s">
        <v>15</v>
      </c>
      <c r="C9" s="4"/>
      <c r="D9" s="4"/>
      <c r="E9" s="4"/>
      <c r="F9" s="4" t="s">
        <v>21</v>
      </c>
      <c r="G9" s="4" t="s">
        <v>17</v>
      </c>
      <c r="H9" s="5">
        <f t="shared" si="0"/>
        <v>0</v>
      </c>
      <c r="I9" s="6">
        <f t="shared" si="1"/>
        <v>0</v>
      </c>
      <c r="J9" s="6">
        <f t="shared" si="1"/>
        <v>0</v>
      </c>
      <c r="K9" s="5">
        <f>ROUND(4877.792,0)</f>
        <v>4878</v>
      </c>
      <c r="L9" s="7">
        <f>ROUND(0.0000016952408799199,4)</f>
        <v>0</v>
      </c>
    </row>
    <row r="10" spans="1:12">
      <c r="A10" s="3" t="s">
        <v>14</v>
      </c>
      <c r="B10" s="4" t="s">
        <v>15</v>
      </c>
      <c r="C10" s="4"/>
      <c r="D10" s="4"/>
      <c r="E10" s="4"/>
      <c r="F10" s="4" t="s">
        <v>22</v>
      </c>
      <c r="G10" s="4" t="s">
        <v>17</v>
      </c>
      <c r="H10" s="5">
        <f t="shared" si="0"/>
        <v>0</v>
      </c>
      <c r="I10" s="6">
        <f t="shared" si="1"/>
        <v>0</v>
      </c>
      <c r="J10" s="6">
        <f t="shared" si="1"/>
        <v>0</v>
      </c>
      <c r="K10" s="5">
        <f>ROUND(3638.57,0)</f>
        <v>3639</v>
      </c>
      <c r="L10" s="7">
        <f>ROUND(1.26455835108388E-06,4)</f>
        <v>0</v>
      </c>
    </row>
    <row r="11" spans="1:12">
      <c r="A11" s="3" t="s">
        <v>23</v>
      </c>
      <c r="B11" s="4" t="s">
        <v>24</v>
      </c>
      <c r="C11" s="4"/>
      <c r="D11" s="4"/>
      <c r="E11" s="4" t="s">
        <v>25</v>
      </c>
      <c r="F11" s="4" t="s">
        <v>26</v>
      </c>
      <c r="G11" s="4" t="s">
        <v>27</v>
      </c>
      <c r="H11" s="5">
        <f t="shared" si="0"/>
        <v>0</v>
      </c>
      <c r="I11" s="6">
        <f t="shared" ref="I11:I42" si="2">ROUND(0,2)</f>
        <v>0</v>
      </c>
      <c r="J11" s="6">
        <f>ROUND(1.15901246,2)</f>
        <v>1.1599999999999999</v>
      </c>
      <c r="K11" s="5">
        <f t="shared" ref="K11:K42" si="3">ROUND(0,0)</f>
        <v>0</v>
      </c>
      <c r="L11" s="7">
        <f t="shared" ref="L11:L42" si="4">ROUND(0,4)</f>
        <v>0</v>
      </c>
    </row>
    <row r="12" spans="1:12">
      <c r="A12" s="3" t="s">
        <v>28</v>
      </c>
      <c r="B12" s="4" t="s">
        <v>29</v>
      </c>
      <c r="C12" s="4"/>
      <c r="D12" s="4"/>
      <c r="E12" s="4" t="s">
        <v>30</v>
      </c>
      <c r="F12" s="4" t="s">
        <v>18</v>
      </c>
      <c r="G12" s="4" t="s">
        <v>27</v>
      </c>
      <c r="H12" s="5">
        <f t="shared" si="0"/>
        <v>0</v>
      </c>
      <c r="I12" s="6">
        <f t="shared" si="2"/>
        <v>0</v>
      </c>
      <c r="J12" s="6">
        <f>ROUND(9.9055,2)</f>
        <v>9.91</v>
      </c>
      <c r="K12" s="5">
        <f t="shared" si="3"/>
        <v>0</v>
      </c>
      <c r="L12" s="7">
        <f t="shared" si="4"/>
        <v>0</v>
      </c>
    </row>
    <row r="13" spans="1:12">
      <c r="A13" s="3" t="s">
        <v>31</v>
      </c>
      <c r="B13" s="4" t="s">
        <v>32</v>
      </c>
      <c r="C13" s="4"/>
      <c r="D13" s="4"/>
      <c r="E13" s="4" t="s">
        <v>30</v>
      </c>
      <c r="F13" s="4" t="s">
        <v>26</v>
      </c>
      <c r="G13" s="4" t="s">
        <v>27</v>
      </c>
      <c r="H13" s="5">
        <f>ROUND(-6300,0)</f>
        <v>-6300</v>
      </c>
      <c r="I13" s="6">
        <f t="shared" si="2"/>
        <v>0</v>
      </c>
      <c r="J13" s="6">
        <f>ROUND(1.15901246,2)</f>
        <v>1.1599999999999999</v>
      </c>
      <c r="K13" s="5">
        <f t="shared" si="3"/>
        <v>0</v>
      </c>
      <c r="L13" s="7">
        <f t="shared" si="4"/>
        <v>0</v>
      </c>
    </row>
    <row r="14" spans="1:12">
      <c r="A14" s="3" t="s">
        <v>33</v>
      </c>
      <c r="B14" s="4" t="s">
        <v>34</v>
      </c>
      <c r="C14" s="4"/>
      <c r="D14" s="4"/>
      <c r="E14" s="4" t="s">
        <v>35</v>
      </c>
      <c r="F14" s="4" t="s">
        <v>21</v>
      </c>
      <c r="G14" s="4" t="s">
        <v>27</v>
      </c>
      <c r="H14" s="5">
        <f>ROUND(-300,0)</f>
        <v>-300</v>
      </c>
      <c r="I14" s="6">
        <f t="shared" si="2"/>
        <v>0</v>
      </c>
      <c r="J14" s="6">
        <f>ROUND(9.08595,2)</f>
        <v>9.09</v>
      </c>
      <c r="K14" s="5">
        <f t="shared" si="3"/>
        <v>0</v>
      </c>
      <c r="L14" s="7">
        <f t="shared" si="4"/>
        <v>0</v>
      </c>
    </row>
    <row r="15" spans="1:12">
      <c r="A15" s="3" t="s">
        <v>36</v>
      </c>
      <c r="B15" s="4" t="s">
        <v>37</v>
      </c>
      <c r="C15" s="4"/>
      <c r="D15" s="4"/>
      <c r="E15" s="4" t="s">
        <v>25</v>
      </c>
      <c r="F15" s="4" t="s">
        <v>38</v>
      </c>
      <c r="G15" s="4" t="s">
        <v>27</v>
      </c>
      <c r="H15" s="5">
        <f>ROUND(-661,0)</f>
        <v>-661</v>
      </c>
      <c r="I15" s="6">
        <f t="shared" si="2"/>
        <v>0</v>
      </c>
      <c r="J15" s="6">
        <f>ROUND(1.60912955,2)</f>
        <v>1.61</v>
      </c>
      <c r="K15" s="5">
        <f t="shared" si="3"/>
        <v>0</v>
      </c>
      <c r="L15" s="7">
        <f t="shared" si="4"/>
        <v>0</v>
      </c>
    </row>
    <row r="16" spans="1:12">
      <c r="A16" s="3" t="s">
        <v>39</v>
      </c>
      <c r="B16" s="4" t="s">
        <v>40</v>
      </c>
      <c r="C16" s="4"/>
      <c r="D16" s="4"/>
      <c r="E16" s="4" t="s">
        <v>25</v>
      </c>
      <c r="F16" s="4" t="s">
        <v>26</v>
      </c>
      <c r="G16" s="4" t="s">
        <v>27</v>
      </c>
      <c r="H16" s="5">
        <f>ROUND(-3300,0)</f>
        <v>-3300</v>
      </c>
      <c r="I16" s="6">
        <f t="shared" si="2"/>
        <v>0</v>
      </c>
      <c r="J16" s="6">
        <f>ROUND(1.15901246,2)</f>
        <v>1.1599999999999999</v>
      </c>
      <c r="K16" s="5">
        <f t="shared" si="3"/>
        <v>0</v>
      </c>
      <c r="L16" s="7">
        <f t="shared" si="4"/>
        <v>0</v>
      </c>
    </row>
    <row r="17" spans="1:12">
      <c r="A17" s="3" t="s">
        <v>41</v>
      </c>
      <c r="B17" s="4" t="s">
        <v>42</v>
      </c>
      <c r="C17" s="4"/>
      <c r="D17" s="4"/>
      <c r="E17" s="4" t="s">
        <v>30</v>
      </c>
      <c r="F17" s="4" t="s">
        <v>18</v>
      </c>
      <c r="G17" s="4" t="s">
        <v>27</v>
      </c>
      <c r="H17" s="5">
        <f>ROUND(0,0)</f>
        <v>0</v>
      </c>
      <c r="I17" s="6">
        <f t="shared" si="2"/>
        <v>0</v>
      </c>
      <c r="J17" s="6">
        <f>ROUND(9.9055,2)</f>
        <v>9.91</v>
      </c>
      <c r="K17" s="5">
        <f t="shared" si="3"/>
        <v>0</v>
      </c>
      <c r="L17" s="7">
        <f t="shared" si="4"/>
        <v>0</v>
      </c>
    </row>
    <row r="18" spans="1:12">
      <c r="A18" s="3" t="s">
        <v>43</v>
      </c>
      <c r="B18" s="4" t="s">
        <v>44</v>
      </c>
      <c r="C18" s="4"/>
      <c r="D18" s="4"/>
      <c r="E18" s="4" t="s">
        <v>30</v>
      </c>
      <c r="F18" s="4" t="s">
        <v>45</v>
      </c>
      <c r="G18" s="4" t="s">
        <v>27</v>
      </c>
      <c r="H18" s="5">
        <f>ROUND(0,0)</f>
        <v>0</v>
      </c>
      <c r="I18" s="6">
        <f t="shared" si="2"/>
        <v>0</v>
      </c>
      <c r="J18" s="6">
        <f>ROUND(8.407077,2)</f>
        <v>8.41</v>
      </c>
      <c r="K18" s="5">
        <f t="shared" si="3"/>
        <v>0</v>
      </c>
      <c r="L18" s="7">
        <f t="shared" si="4"/>
        <v>0</v>
      </c>
    </row>
    <row r="19" spans="1:12">
      <c r="A19" s="3" t="s">
        <v>46</v>
      </c>
      <c r="B19" s="4" t="s">
        <v>47</v>
      </c>
      <c r="C19" s="4"/>
      <c r="D19" s="4"/>
      <c r="E19" s="4" t="s">
        <v>30</v>
      </c>
      <c r="F19" s="4" t="s">
        <v>16</v>
      </c>
      <c r="G19" s="4" t="s">
        <v>27</v>
      </c>
      <c r="H19" s="5">
        <f>ROUND(0,0)</f>
        <v>0</v>
      </c>
      <c r="I19" s="6">
        <f t="shared" si="2"/>
        <v>0</v>
      </c>
      <c r="J19" s="6">
        <f>ROUND(9.11185723,2)</f>
        <v>9.11</v>
      </c>
      <c r="K19" s="5">
        <f t="shared" si="3"/>
        <v>0</v>
      </c>
      <c r="L19" s="7">
        <f t="shared" si="4"/>
        <v>0</v>
      </c>
    </row>
    <row r="20" spans="1:12">
      <c r="A20" s="3" t="s">
        <v>48</v>
      </c>
      <c r="B20" s="4" t="s">
        <v>49</v>
      </c>
      <c r="C20" s="4"/>
      <c r="D20" s="4"/>
      <c r="E20" s="4" t="s">
        <v>25</v>
      </c>
      <c r="F20" s="4" t="s">
        <v>18</v>
      </c>
      <c r="G20" s="4" t="s">
        <v>27</v>
      </c>
      <c r="H20" s="5">
        <f>ROUND(0,0)</f>
        <v>0</v>
      </c>
      <c r="I20" s="6">
        <f t="shared" si="2"/>
        <v>0</v>
      </c>
      <c r="J20" s="6">
        <f>ROUND(9.9055,2)</f>
        <v>9.91</v>
      </c>
      <c r="K20" s="5">
        <f t="shared" si="3"/>
        <v>0</v>
      </c>
      <c r="L20" s="7">
        <f t="shared" si="4"/>
        <v>0</v>
      </c>
    </row>
    <row r="21" spans="1:12">
      <c r="A21" s="3" t="s">
        <v>50</v>
      </c>
      <c r="B21" s="4" t="s">
        <v>51</v>
      </c>
      <c r="C21" s="4"/>
      <c r="D21" s="4"/>
      <c r="E21" s="4" t="s">
        <v>35</v>
      </c>
      <c r="F21" s="4" t="s">
        <v>21</v>
      </c>
      <c r="G21" s="4" t="s">
        <v>27</v>
      </c>
      <c r="H21" s="5">
        <f>ROUND(0,0)</f>
        <v>0</v>
      </c>
      <c r="I21" s="6">
        <f t="shared" si="2"/>
        <v>0</v>
      </c>
      <c r="J21" s="6">
        <f>ROUND(9.08595,2)</f>
        <v>9.09</v>
      </c>
      <c r="K21" s="5">
        <f t="shared" si="3"/>
        <v>0</v>
      </c>
      <c r="L21" s="7">
        <f t="shared" si="4"/>
        <v>0</v>
      </c>
    </row>
    <row r="22" spans="1:12">
      <c r="A22" s="3" t="s">
        <v>52</v>
      </c>
      <c r="B22" s="4" t="s">
        <v>53</v>
      </c>
      <c r="C22" s="4"/>
      <c r="D22" s="4"/>
      <c r="E22" s="4" t="s">
        <v>30</v>
      </c>
      <c r="F22" s="4" t="s">
        <v>26</v>
      </c>
      <c r="G22" s="4" t="s">
        <v>27</v>
      </c>
      <c r="H22" s="5">
        <f>ROUND(-148500,0)</f>
        <v>-148500</v>
      </c>
      <c r="I22" s="6">
        <f t="shared" si="2"/>
        <v>0</v>
      </c>
      <c r="J22" s="6">
        <f>ROUND(1.15901246,2)</f>
        <v>1.1599999999999999</v>
      </c>
      <c r="K22" s="5">
        <f t="shared" si="3"/>
        <v>0</v>
      </c>
      <c r="L22" s="7">
        <f t="shared" si="4"/>
        <v>0</v>
      </c>
    </row>
    <row r="23" spans="1:12">
      <c r="A23" s="3" t="s">
        <v>54</v>
      </c>
      <c r="B23" s="4" t="s">
        <v>55</v>
      </c>
      <c r="C23" s="4"/>
      <c r="D23" s="4"/>
      <c r="E23" s="4" t="s">
        <v>30</v>
      </c>
      <c r="F23" s="4" t="s">
        <v>18</v>
      </c>
      <c r="G23" s="4" t="s">
        <v>27</v>
      </c>
      <c r="H23" s="5">
        <f>ROUND(0,0)</f>
        <v>0</v>
      </c>
      <c r="I23" s="6">
        <f t="shared" si="2"/>
        <v>0</v>
      </c>
      <c r="J23" s="6">
        <f>ROUND(9.9055,2)</f>
        <v>9.91</v>
      </c>
      <c r="K23" s="5">
        <f t="shared" si="3"/>
        <v>0</v>
      </c>
      <c r="L23" s="7">
        <f t="shared" si="4"/>
        <v>0</v>
      </c>
    </row>
    <row r="24" spans="1:12">
      <c r="A24" s="3" t="s">
        <v>56</v>
      </c>
      <c r="B24" s="4" t="s">
        <v>57</v>
      </c>
      <c r="C24" s="4"/>
      <c r="D24" s="4"/>
      <c r="E24" s="4" t="s">
        <v>30</v>
      </c>
      <c r="F24" s="4" t="s">
        <v>18</v>
      </c>
      <c r="G24" s="4" t="s">
        <v>27</v>
      </c>
      <c r="H24" s="5">
        <f>ROUND(0,0)</f>
        <v>0</v>
      </c>
      <c r="I24" s="6">
        <f t="shared" si="2"/>
        <v>0</v>
      </c>
      <c r="J24" s="6">
        <f>ROUND(9.9055,2)</f>
        <v>9.91</v>
      </c>
      <c r="K24" s="5">
        <f t="shared" si="3"/>
        <v>0</v>
      </c>
      <c r="L24" s="7">
        <f t="shared" si="4"/>
        <v>0</v>
      </c>
    </row>
    <row r="25" spans="1:12">
      <c r="A25" s="3" t="s">
        <v>58</v>
      </c>
      <c r="B25" s="4" t="s">
        <v>59</v>
      </c>
      <c r="C25" s="4"/>
      <c r="D25" s="4"/>
      <c r="E25" s="4" t="s">
        <v>25</v>
      </c>
      <c r="F25" s="4" t="s">
        <v>26</v>
      </c>
      <c r="G25" s="4" t="s">
        <v>27</v>
      </c>
      <c r="H25" s="5">
        <f>ROUND(-45000,0)</f>
        <v>-45000</v>
      </c>
      <c r="I25" s="6">
        <f t="shared" si="2"/>
        <v>0</v>
      </c>
      <c r="J25" s="6">
        <f>ROUND(1.15901246,2)</f>
        <v>1.1599999999999999</v>
      </c>
      <c r="K25" s="5">
        <f t="shared" si="3"/>
        <v>0</v>
      </c>
      <c r="L25" s="7">
        <f t="shared" si="4"/>
        <v>0</v>
      </c>
    </row>
    <row r="26" spans="1:12">
      <c r="A26" s="3" t="s">
        <v>60</v>
      </c>
      <c r="B26" s="4" t="s">
        <v>61</v>
      </c>
      <c r="C26" s="4"/>
      <c r="D26" s="4"/>
      <c r="E26" s="4" t="s">
        <v>30</v>
      </c>
      <c r="F26" s="4" t="s">
        <v>26</v>
      </c>
      <c r="G26" s="4" t="s">
        <v>27</v>
      </c>
      <c r="H26" s="5">
        <f>ROUND(0,0)</f>
        <v>0</v>
      </c>
      <c r="I26" s="6">
        <f t="shared" si="2"/>
        <v>0</v>
      </c>
      <c r="J26" s="6">
        <f>ROUND(1.15901246,2)</f>
        <v>1.1599999999999999</v>
      </c>
      <c r="K26" s="5">
        <f t="shared" si="3"/>
        <v>0</v>
      </c>
      <c r="L26" s="7">
        <f t="shared" si="4"/>
        <v>0</v>
      </c>
    </row>
    <row r="27" spans="1:12">
      <c r="A27" s="3" t="s">
        <v>62</v>
      </c>
      <c r="B27" s="4" t="s">
        <v>63</v>
      </c>
      <c r="C27" s="4"/>
      <c r="D27" s="4"/>
      <c r="E27" s="4" t="s">
        <v>30</v>
      </c>
      <c r="F27" s="4" t="s">
        <v>18</v>
      </c>
      <c r="G27" s="4" t="s">
        <v>27</v>
      </c>
      <c r="H27" s="5">
        <f>ROUND(-826,0)</f>
        <v>-826</v>
      </c>
      <c r="I27" s="6">
        <f t="shared" si="2"/>
        <v>0</v>
      </c>
      <c r="J27" s="6">
        <f>ROUND(9.9055,2)</f>
        <v>9.91</v>
      </c>
      <c r="K27" s="5">
        <f t="shared" si="3"/>
        <v>0</v>
      </c>
      <c r="L27" s="7">
        <f t="shared" si="4"/>
        <v>0</v>
      </c>
    </row>
    <row r="28" spans="1:12">
      <c r="A28" s="3" t="s">
        <v>64</v>
      </c>
      <c r="B28" s="4" t="s">
        <v>65</v>
      </c>
      <c r="C28" s="4"/>
      <c r="D28" s="4"/>
      <c r="E28" s="4" t="s">
        <v>30</v>
      </c>
      <c r="F28" s="4" t="s">
        <v>45</v>
      </c>
      <c r="G28" s="4" t="s">
        <v>27</v>
      </c>
      <c r="H28" s="5">
        <f>ROUND(-2380,0)</f>
        <v>-2380</v>
      </c>
      <c r="I28" s="6">
        <f t="shared" si="2"/>
        <v>0</v>
      </c>
      <c r="J28" s="6">
        <f>ROUND(8.407077,2)</f>
        <v>8.41</v>
      </c>
      <c r="K28" s="5">
        <f t="shared" si="3"/>
        <v>0</v>
      </c>
      <c r="L28" s="7">
        <f t="shared" si="4"/>
        <v>0</v>
      </c>
    </row>
    <row r="29" spans="1:12">
      <c r="A29" s="3" t="s">
        <v>66</v>
      </c>
      <c r="B29" s="4" t="s">
        <v>67</v>
      </c>
      <c r="C29" s="4"/>
      <c r="D29" s="4"/>
      <c r="E29" s="4" t="s">
        <v>30</v>
      </c>
      <c r="F29" s="4" t="s">
        <v>45</v>
      </c>
      <c r="G29" s="4" t="s">
        <v>27</v>
      </c>
      <c r="H29" s="5">
        <f>ROUND(-1100,0)</f>
        <v>-1100</v>
      </c>
      <c r="I29" s="6">
        <f t="shared" si="2"/>
        <v>0</v>
      </c>
      <c r="J29" s="6">
        <f>ROUND(8.407077,2)</f>
        <v>8.41</v>
      </c>
      <c r="K29" s="5">
        <f t="shared" si="3"/>
        <v>0</v>
      </c>
      <c r="L29" s="7">
        <f t="shared" si="4"/>
        <v>0</v>
      </c>
    </row>
    <row r="30" spans="1:12">
      <c r="A30" s="3" t="s">
        <v>68</v>
      </c>
      <c r="B30" s="4" t="s">
        <v>69</v>
      </c>
      <c r="C30" s="4"/>
      <c r="D30" s="4"/>
      <c r="E30" s="4" t="s">
        <v>30</v>
      </c>
      <c r="F30" s="4" t="s">
        <v>18</v>
      </c>
      <c r="G30" s="4" t="s">
        <v>27</v>
      </c>
      <c r="H30" s="5">
        <f>ROUND(0,0)</f>
        <v>0</v>
      </c>
      <c r="I30" s="6">
        <f t="shared" si="2"/>
        <v>0</v>
      </c>
      <c r="J30" s="6">
        <f>ROUND(9.9055,2)</f>
        <v>9.91</v>
      </c>
      <c r="K30" s="5">
        <f t="shared" si="3"/>
        <v>0</v>
      </c>
      <c r="L30" s="7">
        <f t="shared" si="4"/>
        <v>0</v>
      </c>
    </row>
    <row r="31" spans="1:12">
      <c r="A31" s="3" t="s">
        <v>70</v>
      </c>
      <c r="B31" s="4" t="s">
        <v>71</v>
      </c>
      <c r="C31" s="4"/>
      <c r="D31" s="4"/>
      <c r="E31" s="4" t="s">
        <v>30</v>
      </c>
      <c r="F31" s="4" t="s">
        <v>72</v>
      </c>
      <c r="G31" s="4" t="s">
        <v>27</v>
      </c>
      <c r="H31" s="5">
        <f>ROUND(-5967,0)</f>
        <v>-5967</v>
      </c>
      <c r="I31" s="6">
        <f t="shared" si="2"/>
        <v>0</v>
      </c>
      <c r="J31" s="6">
        <f>ROUND(6.12812423,2)</f>
        <v>6.13</v>
      </c>
      <c r="K31" s="5">
        <f t="shared" si="3"/>
        <v>0</v>
      </c>
      <c r="L31" s="7">
        <f t="shared" si="4"/>
        <v>0</v>
      </c>
    </row>
    <row r="32" spans="1:12">
      <c r="A32" s="3" t="s">
        <v>73</v>
      </c>
      <c r="B32" s="4" t="s">
        <v>74</v>
      </c>
      <c r="C32" s="4"/>
      <c r="D32" s="4"/>
      <c r="E32" s="4" t="s">
        <v>30</v>
      </c>
      <c r="F32" s="4" t="s">
        <v>18</v>
      </c>
      <c r="G32" s="4" t="s">
        <v>27</v>
      </c>
      <c r="H32" s="5">
        <f>ROUND(0,0)</f>
        <v>0</v>
      </c>
      <c r="I32" s="6">
        <f t="shared" si="2"/>
        <v>0</v>
      </c>
      <c r="J32" s="6">
        <f>ROUND(9.9055,2)</f>
        <v>9.91</v>
      </c>
      <c r="K32" s="5">
        <f t="shared" si="3"/>
        <v>0</v>
      </c>
      <c r="L32" s="7">
        <f t="shared" si="4"/>
        <v>0</v>
      </c>
    </row>
    <row r="33" spans="1:12">
      <c r="A33" s="3" t="s">
        <v>75</v>
      </c>
      <c r="B33" s="4" t="s">
        <v>76</v>
      </c>
      <c r="C33" s="4"/>
      <c r="D33" s="4"/>
      <c r="E33" s="4" t="s">
        <v>30</v>
      </c>
      <c r="F33" s="4" t="s">
        <v>72</v>
      </c>
      <c r="G33" s="4" t="s">
        <v>27</v>
      </c>
      <c r="H33" s="5">
        <f>ROUND(0,0)</f>
        <v>0</v>
      </c>
      <c r="I33" s="6">
        <f t="shared" si="2"/>
        <v>0</v>
      </c>
      <c r="J33" s="6">
        <f>ROUND(6.12812423,2)</f>
        <v>6.13</v>
      </c>
      <c r="K33" s="5">
        <f t="shared" si="3"/>
        <v>0</v>
      </c>
      <c r="L33" s="7">
        <f t="shared" si="4"/>
        <v>0</v>
      </c>
    </row>
    <row r="34" spans="1:12">
      <c r="A34" s="3" t="s">
        <v>77</v>
      </c>
      <c r="B34" s="4" t="s">
        <v>78</v>
      </c>
      <c r="C34" s="4"/>
      <c r="D34" s="4"/>
      <c r="E34" s="4" t="s">
        <v>30</v>
      </c>
      <c r="F34" s="4" t="s">
        <v>26</v>
      </c>
      <c r="G34" s="4" t="s">
        <v>27</v>
      </c>
      <c r="H34" s="5">
        <f>ROUND(-3600,0)</f>
        <v>-3600</v>
      </c>
      <c r="I34" s="6">
        <f t="shared" si="2"/>
        <v>0</v>
      </c>
      <c r="J34" s="6">
        <f>ROUND(1.15901246,2)</f>
        <v>1.1599999999999999</v>
      </c>
      <c r="K34" s="5">
        <f t="shared" si="3"/>
        <v>0</v>
      </c>
      <c r="L34" s="7">
        <f t="shared" si="4"/>
        <v>0</v>
      </c>
    </row>
    <row r="35" spans="1:12">
      <c r="A35" s="3" t="s">
        <v>79</v>
      </c>
      <c r="B35" s="4" t="s">
        <v>80</v>
      </c>
      <c r="C35" s="4"/>
      <c r="D35" s="4"/>
      <c r="E35" s="4" t="s">
        <v>25</v>
      </c>
      <c r="F35" s="4" t="s">
        <v>26</v>
      </c>
      <c r="G35" s="4" t="s">
        <v>27</v>
      </c>
      <c r="H35" s="5">
        <f>ROUND(0,0)</f>
        <v>0</v>
      </c>
      <c r="I35" s="6">
        <f t="shared" si="2"/>
        <v>0</v>
      </c>
      <c r="J35" s="6">
        <f>ROUND(1.15901246,2)</f>
        <v>1.1599999999999999</v>
      </c>
      <c r="K35" s="5">
        <f t="shared" si="3"/>
        <v>0</v>
      </c>
      <c r="L35" s="7">
        <f t="shared" si="4"/>
        <v>0</v>
      </c>
    </row>
    <row r="36" spans="1:12">
      <c r="A36" s="3" t="s">
        <v>81</v>
      </c>
      <c r="B36" s="4" t="s">
        <v>82</v>
      </c>
      <c r="C36" s="4"/>
      <c r="D36" s="4"/>
      <c r="E36" s="4" t="s">
        <v>30</v>
      </c>
      <c r="F36" s="4" t="s">
        <v>18</v>
      </c>
      <c r="G36" s="4" t="s">
        <v>27</v>
      </c>
      <c r="H36" s="5">
        <f>ROUND(-1145,0)</f>
        <v>-1145</v>
      </c>
      <c r="I36" s="6">
        <f t="shared" si="2"/>
        <v>0</v>
      </c>
      <c r="J36" s="6">
        <f>ROUND(9.9055,2)</f>
        <v>9.91</v>
      </c>
      <c r="K36" s="5">
        <f t="shared" si="3"/>
        <v>0</v>
      </c>
      <c r="L36" s="7">
        <f t="shared" si="4"/>
        <v>0</v>
      </c>
    </row>
    <row r="37" spans="1:12">
      <c r="A37" s="3" t="s">
        <v>83</v>
      </c>
      <c r="B37" s="4" t="s">
        <v>84</v>
      </c>
      <c r="C37" s="4"/>
      <c r="D37" s="4"/>
      <c r="E37" s="4" t="s">
        <v>35</v>
      </c>
      <c r="F37" s="4" t="s">
        <v>21</v>
      </c>
      <c r="G37" s="4" t="s">
        <v>27</v>
      </c>
      <c r="H37" s="5">
        <f>ROUND(-583,0)</f>
        <v>-583</v>
      </c>
      <c r="I37" s="6">
        <f t="shared" si="2"/>
        <v>0</v>
      </c>
      <c r="J37" s="6">
        <f>ROUND(9.08595,2)</f>
        <v>9.09</v>
      </c>
      <c r="K37" s="5">
        <f t="shared" si="3"/>
        <v>0</v>
      </c>
      <c r="L37" s="7">
        <f t="shared" si="4"/>
        <v>0</v>
      </c>
    </row>
    <row r="38" spans="1:12">
      <c r="A38" s="3" t="s">
        <v>85</v>
      </c>
      <c r="B38" s="4" t="s">
        <v>86</v>
      </c>
      <c r="C38" s="4"/>
      <c r="D38" s="4"/>
      <c r="E38" s="4" t="s">
        <v>30</v>
      </c>
      <c r="F38" s="4" t="s">
        <v>18</v>
      </c>
      <c r="G38" s="4" t="s">
        <v>27</v>
      </c>
      <c r="H38" s="5">
        <f>ROUND(0,0)</f>
        <v>0</v>
      </c>
      <c r="I38" s="6">
        <f t="shared" si="2"/>
        <v>0</v>
      </c>
      <c r="J38" s="6">
        <f>ROUND(9.9055,2)</f>
        <v>9.91</v>
      </c>
      <c r="K38" s="5">
        <f t="shared" si="3"/>
        <v>0</v>
      </c>
      <c r="L38" s="7">
        <f t="shared" si="4"/>
        <v>0</v>
      </c>
    </row>
    <row r="39" spans="1:12">
      <c r="A39" s="3" t="s">
        <v>87</v>
      </c>
      <c r="B39" s="4" t="s">
        <v>88</v>
      </c>
      <c r="C39" s="4"/>
      <c r="D39" s="4"/>
      <c r="E39" s="4" t="s">
        <v>30</v>
      </c>
      <c r="F39" s="4" t="s">
        <v>18</v>
      </c>
      <c r="G39" s="4" t="s">
        <v>27</v>
      </c>
      <c r="H39" s="5">
        <f>ROUND(-3114,0)</f>
        <v>-3114</v>
      </c>
      <c r="I39" s="6">
        <f t="shared" si="2"/>
        <v>0</v>
      </c>
      <c r="J39" s="6">
        <f>ROUND(9.9055,2)</f>
        <v>9.91</v>
      </c>
      <c r="K39" s="5">
        <f t="shared" si="3"/>
        <v>0</v>
      </c>
      <c r="L39" s="7">
        <f t="shared" si="4"/>
        <v>0</v>
      </c>
    </row>
    <row r="40" spans="1:12">
      <c r="A40" s="3" t="s">
        <v>89</v>
      </c>
      <c r="B40" s="4" t="s">
        <v>90</v>
      </c>
      <c r="C40" s="4"/>
      <c r="D40" s="4"/>
      <c r="E40" s="4" t="s">
        <v>25</v>
      </c>
      <c r="F40" s="4" t="s">
        <v>26</v>
      </c>
      <c r="G40" s="4" t="s">
        <v>27</v>
      </c>
      <c r="H40" s="5">
        <f>ROUND(-36900,0)</f>
        <v>-36900</v>
      </c>
      <c r="I40" s="6">
        <f t="shared" si="2"/>
        <v>0</v>
      </c>
      <c r="J40" s="6">
        <f>ROUND(1.15901246,2)</f>
        <v>1.1599999999999999</v>
      </c>
      <c r="K40" s="5">
        <f t="shared" si="3"/>
        <v>0</v>
      </c>
      <c r="L40" s="7">
        <f t="shared" si="4"/>
        <v>0</v>
      </c>
    </row>
    <row r="41" spans="1:12">
      <c r="A41" s="3" t="s">
        <v>91</v>
      </c>
      <c r="B41" s="4" t="s">
        <v>92</v>
      </c>
      <c r="C41" s="4"/>
      <c r="D41" s="4"/>
      <c r="E41" s="4" t="s">
        <v>35</v>
      </c>
      <c r="F41" s="4" t="s">
        <v>21</v>
      </c>
      <c r="G41" s="4" t="s">
        <v>27</v>
      </c>
      <c r="H41" s="5">
        <f>ROUND(0,0)</f>
        <v>0</v>
      </c>
      <c r="I41" s="6">
        <f t="shared" si="2"/>
        <v>0</v>
      </c>
      <c r="J41" s="6">
        <f>ROUND(9.08595,2)</f>
        <v>9.09</v>
      </c>
      <c r="K41" s="5">
        <f t="shared" si="3"/>
        <v>0</v>
      </c>
      <c r="L41" s="7">
        <f t="shared" si="4"/>
        <v>0</v>
      </c>
    </row>
    <row r="42" spans="1:12">
      <c r="A42" s="3" t="s">
        <v>93</v>
      </c>
      <c r="B42" s="4" t="s">
        <v>94</v>
      </c>
      <c r="C42" s="4"/>
      <c r="D42" s="4"/>
      <c r="E42" s="4" t="s">
        <v>25</v>
      </c>
      <c r="F42" s="4" t="s">
        <v>95</v>
      </c>
      <c r="G42" s="4" t="s">
        <v>27</v>
      </c>
      <c r="H42" s="5">
        <f>ROUND(0,0)</f>
        <v>0</v>
      </c>
      <c r="I42" s="6">
        <f t="shared" si="2"/>
        <v>0</v>
      </c>
      <c r="J42" s="6">
        <f>ROUND(0.4601869,2)</f>
        <v>0.46</v>
      </c>
      <c r="K42" s="5">
        <f t="shared" si="3"/>
        <v>0</v>
      </c>
      <c r="L42" s="7">
        <f t="shared" si="4"/>
        <v>0</v>
      </c>
    </row>
    <row r="43" spans="1:12">
      <c r="A43" s="3" t="s">
        <v>96</v>
      </c>
      <c r="B43" s="4" t="s">
        <v>97</v>
      </c>
      <c r="C43" s="4"/>
      <c r="D43" s="4"/>
      <c r="E43" s="4" t="s">
        <v>30</v>
      </c>
      <c r="F43" s="4" t="s">
        <v>26</v>
      </c>
      <c r="G43" s="4" t="s">
        <v>27</v>
      </c>
      <c r="H43" s="5">
        <f>ROUND(0,0)</f>
        <v>0</v>
      </c>
      <c r="I43" s="6">
        <f t="shared" ref="I43:I74" si="5">ROUND(0,2)</f>
        <v>0</v>
      </c>
      <c r="J43" s="6">
        <f>ROUND(1.15901246,2)</f>
        <v>1.1599999999999999</v>
      </c>
      <c r="K43" s="5">
        <f t="shared" ref="K43:K74" si="6">ROUND(0,0)</f>
        <v>0</v>
      </c>
      <c r="L43" s="7">
        <f t="shared" ref="L43:L74" si="7">ROUND(0,4)</f>
        <v>0</v>
      </c>
    </row>
    <row r="44" spans="1:12">
      <c r="A44" s="3" t="s">
        <v>98</v>
      </c>
      <c r="B44" s="4" t="s">
        <v>99</v>
      </c>
      <c r="C44" s="4"/>
      <c r="D44" s="4"/>
      <c r="E44" s="4" t="s">
        <v>25</v>
      </c>
      <c r="F44" s="4" t="s">
        <v>26</v>
      </c>
      <c r="G44" s="4" t="s">
        <v>27</v>
      </c>
      <c r="H44" s="5">
        <f>ROUND(-2200,0)</f>
        <v>-2200</v>
      </c>
      <c r="I44" s="6">
        <f t="shared" si="5"/>
        <v>0</v>
      </c>
      <c r="J44" s="6">
        <f>ROUND(1.15901246,2)</f>
        <v>1.1599999999999999</v>
      </c>
      <c r="K44" s="5">
        <f t="shared" si="6"/>
        <v>0</v>
      </c>
      <c r="L44" s="7">
        <f t="shared" si="7"/>
        <v>0</v>
      </c>
    </row>
    <row r="45" spans="1:12">
      <c r="A45" s="3" t="s">
        <v>100</v>
      </c>
      <c r="B45" s="4" t="s">
        <v>101</v>
      </c>
      <c r="C45" s="4"/>
      <c r="D45" s="4"/>
      <c r="E45" s="4" t="s">
        <v>30</v>
      </c>
      <c r="F45" s="4" t="s">
        <v>26</v>
      </c>
      <c r="G45" s="4" t="s">
        <v>27</v>
      </c>
      <c r="H45" s="5">
        <f>ROUND(-3600,0)</f>
        <v>-3600</v>
      </c>
      <c r="I45" s="6">
        <f t="shared" si="5"/>
        <v>0</v>
      </c>
      <c r="J45" s="6">
        <f>ROUND(1.15901246,2)</f>
        <v>1.1599999999999999</v>
      </c>
      <c r="K45" s="5">
        <f t="shared" si="6"/>
        <v>0</v>
      </c>
      <c r="L45" s="7">
        <f t="shared" si="7"/>
        <v>0</v>
      </c>
    </row>
    <row r="46" spans="1:12">
      <c r="A46" s="3" t="s">
        <v>102</v>
      </c>
      <c r="B46" s="4" t="s">
        <v>103</v>
      </c>
      <c r="C46" s="4"/>
      <c r="D46" s="4"/>
      <c r="E46" s="4" t="s">
        <v>35</v>
      </c>
      <c r="F46" s="4" t="s">
        <v>21</v>
      </c>
      <c r="G46" s="4" t="s">
        <v>27</v>
      </c>
      <c r="H46" s="5">
        <f>ROUND(0,0)</f>
        <v>0</v>
      </c>
      <c r="I46" s="6">
        <f t="shared" si="5"/>
        <v>0</v>
      </c>
      <c r="J46" s="6">
        <f>ROUND(9.08595,2)</f>
        <v>9.09</v>
      </c>
      <c r="K46" s="5">
        <f t="shared" si="6"/>
        <v>0</v>
      </c>
      <c r="L46" s="7">
        <f t="shared" si="7"/>
        <v>0</v>
      </c>
    </row>
    <row r="47" spans="1:12">
      <c r="A47" s="3" t="s">
        <v>104</v>
      </c>
      <c r="B47" s="4" t="s">
        <v>105</v>
      </c>
      <c r="C47" s="4"/>
      <c r="D47" s="4"/>
      <c r="E47" s="4" t="s">
        <v>35</v>
      </c>
      <c r="F47" s="4" t="s">
        <v>21</v>
      </c>
      <c r="G47" s="4" t="s">
        <v>27</v>
      </c>
      <c r="H47" s="5">
        <f>ROUND(-80,0)</f>
        <v>-80</v>
      </c>
      <c r="I47" s="6">
        <f t="shared" si="5"/>
        <v>0</v>
      </c>
      <c r="J47" s="6">
        <f>ROUND(9.08595,2)</f>
        <v>9.09</v>
      </c>
      <c r="K47" s="5">
        <f t="shared" si="6"/>
        <v>0</v>
      </c>
      <c r="L47" s="7">
        <f t="shared" si="7"/>
        <v>0</v>
      </c>
    </row>
    <row r="48" spans="1:12">
      <c r="A48" s="3" t="s">
        <v>106</v>
      </c>
      <c r="B48" s="4" t="s">
        <v>107</v>
      </c>
      <c r="C48" s="4"/>
      <c r="D48" s="4"/>
      <c r="E48" s="4" t="s">
        <v>35</v>
      </c>
      <c r="F48" s="4" t="s">
        <v>21</v>
      </c>
      <c r="G48" s="4" t="s">
        <v>27</v>
      </c>
      <c r="H48" s="5">
        <f>ROUND(0,0)</f>
        <v>0</v>
      </c>
      <c r="I48" s="6">
        <f t="shared" si="5"/>
        <v>0</v>
      </c>
      <c r="J48" s="6">
        <f>ROUND(9.08595,2)</f>
        <v>9.09</v>
      </c>
      <c r="K48" s="5">
        <f t="shared" si="6"/>
        <v>0</v>
      </c>
      <c r="L48" s="7">
        <f t="shared" si="7"/>
        <v>0</v>
      </c>
    </row>
    <row r="49" spans="1:12">
      <c r="A49" s="3" t="s">
        <v>108</v>
      </c>
      <c r="B49" s="4" t="s">
        <v>109</v>
      </c>
      <c r="C49" s="4"/>
      <c r="D49" s="4"/>
      <c r="E49" s="4" t="s">
        <v>30</v>
      </c>
      <c r="F49" s="4" t="s">
        <v>18</v>
      </c>
      <c r="G49" s="4" t="s">
        <v>27</v>
      </c>
      <c r="H49" s="5">
        <f>ROUND(0,0)</f>
        <v>0</v>
      </c>
      <c r="I49" s="6">
        <f t="shared" si="5"/>
        <v>0</v>
      </c>
      <c r="J49" s="6">
        <f>ROUND(9.9055,2)</f>
        <v>9.91</v>
      </c>
      <c r="K49" s="5">
        <f t="shared" si="6"/>
        <v>0</v>
      </c>
      <c r="L49" s="7">
        <f t="shared" si="7"/>
        <v>0</v>
      </c>
    </row>
    <row r="50" spans="1:12">
      <c r="A50" s="3" t="s">
        <v>110</v>
      </c>
      <c r="B50" s="4" t="s">
        <v>111</v>
      </c>
      <c r="C50" s="4"/>
      <c r="D50" s="4"/>
      <c r="E50" s="4" t="s">
        <v>35</v>
      </c>
      <c r="F50" s="4" t="s">
        <v>21</v>
      </c>
      <c r="G50" s="4" t="s">
        <v>27</v>
      </c>
      <c r="H50" s="5">
        <f>ROUND(-735,0)</f>
        <v>-735</v>
      </c>
      <c r="I50" s="6">
        <f t="shared" si="5"/>
        <v>0</v>
      </c>
      <c r="J50" s="6">
        <f>ROUND(9.08595,2)</f>
        <v>9.09</v>
      </c>
      <c r="K50" s="5">
        <f t="shared" si="6"/>
        <v>0</v>
      </c>
      <c r="L50" s="7">
        <f t="shared" si="7"/>
        <v>0</v>
      </c>
    </row>
    <row r="51" spans="1:12">
      <c r="A51" s="3" t="s">
        <v>112</v>
      </c>
      <c r="B51" s="4" t="s">
        <v>113</v>
      </c>
      <c r="C51" s="4"/>
      <c r="D51" s="4"/>
      <c r="E51" s="4" t="s">
        <v>35</v>
      </c>
      <c r="F51" s="4" t="s">
        <v>21</v>
      </c>
      <c r="G51" s="4" t="s">
        <v>27</v>
      </c>
      <c r="H51" s="5">
        <f>ROUND(-4895,0)</f>
        <v>-4895</v>
      </c>
      <c r="I51" s="6">
        <f t="shared" si="5"/>
        <v>0</v>
      </c>
      <c r="J51" s="6">
        <f>ROUND(9.08595,2)</f>
        <v>9.09</v>
      </c>
      <c r="K51" s="5">
        <f t="shared" si="6"/>
        <v>0</v>
      </c>
      <c r="L51" s="7">
        <f t="shared" si="7"/>
        <v>0</v>
      </c>
    </row>
    <row r="52" spans="1:12">
      <c r="A52" s="3" t="s">
        <v>114</v>
      </c>
      <c r="B52" s="4" t="s">
        <v>115</v>
      </c>
      <c r="C52" s="4"/>
      <c r="D52" s="4"/>
      <c r="E52" s="4" t="s">
        <v>35</v>
      </c>
      <c r="F52" s="4" t="s">
        <v>21</v>
      </c>
      <c r="G52" s="4" t="s">
        <v>27</v>
      </c>
      <c r="H52" s="5">
        <f>ROUND(-180,0)</f>
        <v>-180</v>
      </c>
      <c r="I52" s="6">
        <f t="shared" si="5"/>
        <v>0</v>
      </c>
      <c r="J52" s="6">
        <f>ROUND(9.08595,2)</f>
        <v>9.09</v>
      </c>
      <c r="K52" s="5">
        <f t="shared" si="6"/>
        <v>0</v>
      </c>
      <c r="L52" s="7">
        <f t="shared" si="7"/>
        <v>0</v>
      </c>
    </row>
    <row r="53" spans="1:12">
      <c r="A53" s="3" t="s">
        <v>116</v>
      </c>
      <c r="B53" s="4" t="s">
        <v>117</v>
      </c>
      <c r="C53" s="4"/>
      <c r="D53" s="4"/>
      <c r="E53" s="4" t="s">
        <v>35</v>
      </c>
      <c r="F53" s="4" t="s">
        <v>21</v>
      </c>
      <c r="G53" s="4" t="s">
        <v>27</v>
      </c>
      <c r="H53" s="5">
        <f>ROUND(0,0)</f>
        <v>0</v>
      </c>
      <c r="I53" s="6">
        <f t="shared" si="5"/>
        <v>0</v>
      </c>
      <c r="J53" s="6">
        <f>ROUND(9.08595,2)</f>
        <v>9.09</v>
      </c>
      <c r="K53" s="5">
        <f t="shared" si="6"/>
        <v>0</v>
      </c>
      <c r="L53" s="7">
        <f t="shared" si="7"/>
        <v>0</v>
      </c>
    </row>
    <row r="54" spans="1:12">
      <c r="A54" s="3" t="s">
        <v>118</v>
      </c>
      <c r="B54" s="4" t="s">
        <v>119</v>
      </c>
      <c r="C54" s="4"/>
      <c r="D54" s="4"/>
      <c r="E54" s="4" t="s">
        <v>25</v>
      </c>
      <c r="F54" s="4" t="s">
        <v>26</v>
      </c>
      <c r="G54" s="4" t="s">
        <v>27</v>
      </c>
      <c r="H54" s="5">
        <f>ROUND(0,0)</f>
        <v>0</v>
      </c>
      <c r="I54" s="6">
        <f t="shared" si="5"/>
        <v>0</v>
      </c>
      <c r="J54" s="6">
        <f>ROUND(1.15901246,2)</f>
        <v>1.1599999999999999</v>
      </c>
      <c r="K54" s="5">
        <f t="shared" si="6"/>
        <v>0</v>
      </c>
      <c r="L54" s="7">
        <f t="shared" si="7"/>
        <v>0</v>
      </c>
    </row>
    <row r="55" spans="1:12">
      <c r="A55" s="3" t="s">
        <v>120</v>
      </c>
      <c r="B55" s="4" t="s">
        <v>121</v>
      </c>
      <c r="C55" s="4"/>
      <c r="D55" s="4"/>
      <c r="E55" s="4" t="s">
        <v>30</v>
      </c>
      <c r="F55" s="4" t="s">
        <v>20</v>
      </c>
      <c r="G55" s="4" t="s">
        <v>27</v>
      </c>
      <c r="H55" s="5">
        <f>ROUND(-5969,0)</f>
        <v>-5969</v>
      </c>
      <c r="I55" s="6">
        <f t="shared" si="5"/>
        <v>0</v>
      </c>
      <c r="J55" s="6">
        <f>ROUND(11.19645077,2)</f>
        <v>11.2</v>
      </c>
      <c r="K55" s="5">
        <f t="shared" si="6"/>
        <v>0</v>
      </c>
      <c r="L55" s="7">
        <f t="shared" si="7"/>
        <v>0</v>
      </c>
    </row>
    <row r="56" spans="1:12">
      <c r="A56" s="3" t="s">
        <v>122</v>
      </c>
      <c r="B56" s="4" t="s">
        <v>123</v>
      </c>
      <c r="C56" s="4"/>
      <c r="D56" s="4"/>
      <c r="E56" s="4" t="s">
        <v>25</v>
      </c>
      <c r="F56" s="4" t="s">
        <v>26</v>
      </c>
      <c r="G56" s="4" t="s">
        <v>27</v>
      </c>
      <c r="H56" s="5">
        <f>ROUND(-9800,0)</f>
        <v>-9800</v>
      </c>
      <c r="I56" s="6">
        <f t="shared" si="5"/>
        <v>0</v>
      </c>
      <c r="J56" s="6">
        <f>ROUND(1.15901246,2)</f>
        <v>1.1599999999999999</v>
      </c>
      <c r="K56" s="5">
        <f t="shared" si="6"/>
        <v>0</v>
      </c>
      <c r="L56" s="7">
        <f t="shared" si="7"/>
        <v>0</v>
      </c>
    </row>
    <row r="57" spans="1:12">
      <c r="A57" s="3" t="s">
        <v>124</v>
      </c>
      <c r="B57" s="4" t="s">
        <v>125</v>
      </c>
      <c r="C57" s="4"/>
      <c r="D57" s="4"/>
      <c r="E57" s="4" t="s">
        <v>25</v>
      </c>
      <c r="F57" s="4" t="s">
        <v>72</v>
      </c>
      <c r="G57" s="4" t="s">
        <v>27</v>
      </c>
      <c r="H57" s="5">
        <f>ROUND(0,0)</f>
        <v>0</v>
      </c>
      <c r="I57" s="6">
        <f t="shared" si="5"/>
        <v>0</v>
      </c>
      <c r="J57" s="6">
        <f>ROUND(6.12812423,2)</f>
        <v>6.13</v>
      </c>
      <c r="K57" s="5">
        <f t="shared" si="6"/>
        <v>0</v>
      </c>
      <c r="L57" s="7">
        <f t="shared" si="7"/>
        <v>0</v>
      </c>
    </row>
    <row r="58" spans="1:12">
      <c r="A58" s="3" t="s">
        <v>126</v>
      </c>
      <c r="B58" s="4" t="s">
        <v>127</v>
      </c>
      <c r="C58" s="4"/>
      <c r="D58" s="4"/>
      <c r="E58" s="4" t="s">
        <v>35</v>
      </c>
      <c r="F58" s="4" t="s">
        <v>21</v>
      </c>
      <c r="G58" s="4" t="s">
        <v>27</v>
      </c>
      <c r="H58" s="5">
        <f>ROUND(-4761,0)</f>
        <v>-4761</v>
      </c>
      <c r="I58" s="6">
        <f t="shared" si="5"/>
        <v>0</v>
      </c>
      <c r="J58" s="6">
        <f>ROUND(9.08595,2)</f>
        <v>9.09</v>
      </c>
      <c r="K58" s="5">
        <f t="shared" si="6"/>
        <v>0</v>
      </c>
      <c r="L58" s="7">
        <f t="shared" si="7"/>
        <v>0</v>
      </c>
    </row>
    <row r="59" spans="1:12">
      <c r="A59" s="3" t="s">
        <v>128</v>
      </c>
      <c r="B59" s="4" t="s">
        <v>129</v>
      </c>
      <c r="C59" s="4"/>
      <c r="D59" s="4"/>
      <c r="E59" s="4" t="s">
        <v>30</v>
      </c>
      <c r="F59" s="4" t="s">
        <v>95</v>
      </c>
      <c r="G59" s="4" t="s">
        <v>27</v>
      </c>
      <c r="H59" s="5">
        <f>ROUND(-4248,0)</f>
        <v>-4248</v>
      </c>
      <c r="I59" s="6">
        <f t="shared" si="5"/>
        <v>0</v>
      </c>
      <c r="J59" s="6">
        <f>ROUND(0.4601869,2)</f>
        <v>0.46</v>
      </c>
      <c r="K59" s="5">
        <f t="shared" si="6"/>
        <v>0</v>
      </c>
      <c r="L59" s="7">
        <f t="shared" si="7"/>
        <v>0</v>
      </c>
    </row>
    <row r="60" spans="1:12">
      <c r="A60" s="3" t="s">
        <v>124</v>
      </c>
      <c r="B60" s="4" t="s">
        <v>130</v>
      </c>
      <c r="C60" s="4"/>
      <c r="D60" s="4"/>
      <c r="E60" s="4" t="s">
        <v>25</v>
      </c>
      <c r="F60" s="4" t="s">
        <v>72</v>
      </c>
      <c r="G60" s="4" t="s">
        <v>27</v>
      </c>
      <c r="H60" s="5">
        <f>ROUND(0,0)</f>
        <v>0</v>
      </c>
      <c r="I60" s="6">
        <f t="shared" si="5"/>
        <v>0</v>
      </c>
      <c r="J60" s="6">
        <f>ROUND(6.12812423,2)</f>
        <v>6.13</v>
      </c>
      <c r="K60" s="5">
        <f t="shared" si="6"/>
        <v>0</v>
      </c>
      <c r="L60" s="7">
        <f t="shared" si="7"/>
        <v>0</v>
      </c>
    </row>
    <row r="61" spans="1:12">
      <c r="A61" s="3" t="s">
        <v>124</v>
      </c>
      <c r="B61" s="4" t="s">
        <v>131</v>
      </c>
      <c r="C61" s="4"/>
      <c r="D61" s="4"/>
      <c r="E61" s="4" t="s">
        <v>30</v>
      </c>
      <c r="F61" s="4" t="s">
        <v>72</v>
      </c>
      <c r="G61" s="4" t="s">
        <v>27</v>
      </c>
      <c r="H61" s="5">
        <f>ROUND(0,0)</f>
        <v>0</v>
      </c>
      <c r="I61" s="6">
        <f t="shared" si="5"/>
        <v>0</v>
      </c>
      <c r="J61" s="6">
        <f>ROUND(6.12812423,2)</f>
        <v>6.13</v>
      </c>
      <c r="K61" s="5">
        <f t="shared" si="6"/>
        <v>0</v>
      </c>
      <c r="L61" s="7">
        <f t="shared" si="7"/>
        <v>0</v>
      </c>
    </row>
    <row r="62" spans="1:12">
      <c r="A62" s="3" t="s">
        <v>132</v>
      </c>
      <c r="B62" s="4" t="s">
        <v>133</v>
      </c>
      <c r="C62" s="4"/>
      <c r="D62" s="4"/>
      <c r="E62" s="4" t="s">
        <v>30</v>
      </c>
      <c r="F62" s="4" t="s">
        <v>18</v>
      </c>
      <c r="G62" s="4" t="s">
        <v>27</v>
      </c>
      <c r="H62" s="5">
        <f>ROUND(0,0)</f>
        <v>0</v>
      </c>
      <c r="I62" s="6">
        <f t="shared" si="5"/>
        <v>0</v>
      </c>
      <c r="J62" s="6">
        <f>ROUND(9.9055,2)</f>
        <v>9.91</v>
      </c>
      <c r="K62" s="5">
        <f t="shared" si="6"/>
        <v>0</v>
      </c>
      <c r="L62" s="7">
        <f t="shared" si="7"/>
        <v>0</v>
      </c>
    </row>
    <row r="63" spans="1:12">
      <c r="A63" s="3" t="s">
        <v>134</v>
      </c>
      <c r="B63" s="4" t="s">
        <v>135</v>
      </c>
      <c r="C63" s="4"/>
      <c r="D63" s="4"/>
      <c r="E63" s="4" t="s">
        <v>30</v>
      </c>
      <c r="F63" s="4" t="s">
        <v>26</v>
      </c>
      <c r="G63" s="4" t="s">
        <v>27</v>
      </c>
      <c r="H63" s="5">
        <f>ROUND(-3720,0)</f>
        <v>-3720</v>
      </c>
      <c r="I63" s="6">
        <f t="shared" si="5"/>
        <v>0</v>
      </c>
      <c r="J63" s="6">
        <f>ROUND(1.15901246,2)</f>
        <v>1.1599999999999999</v>
      </c>
      <c r="K63" s="5">
        <f t="shared" si="6"/>
        <v>0</v>
      </c>
      <c r="L63" s="7">
        <f t="shared" si="7"/>
        <v>0</v>
      </c>
    </row>
    <row r="64" spans="1:12">
      <c r="A64" s="3" t="s">
        <v>136</v>
      </c>
      <c r="B64" s="4" t="s">
        <v>137</v>
      </c>
      <c r="C64" s="4"/>
      <c r="D64" s="4"/>
      <c r="E64" s="4" t="s">
        <v>30</v>
      </c>
      <c r="F64" s="4" t="s">
        <v>45</v>
      </c>
      <c r="G64" s="4" t="s">
        <v>27</v>
      </c>
      <c r="H64" s="5">
        <f>ROUND(-1485,0)</f>
        <v>-1485</v>
      </c>
      <c r="I64" s="6">
        <f t="shared" si="5"/>
        <v>0</v>
      </c>
      <c r="J64" s="6">
        <f>ROUND(8.407077,2)</f>
        <v>8.41</v>
      </c>
      <c r="K64" s="5">
        <f t="shared" si="6"/>
        <v>0</v>
      </c>
      <c r="L64" s="7">
        <f t="shared" si="7"/>
        <v>0</v>
      </c>
    </row>
    <row r="65" spans="1:12">
      <c r="A65" s="3" t="s">
        <v>136</v>
      </c>
      <c r="B65" s="4" t="s">
        <v>138</v>
      </c>
      <c r="C65" s="4"/>
      <c r="D65" s="4"/>
      <c r="E65" s="4" t="s">
        <v>30</v>
      </c>
      <c r="F65" s="4" t="s">
        <v>45</v>
      </c>
      <c r="G65" s="4" t="s">
        <v>27</v>
      </c>
      <c r="H65" s="5">
        <f>ROUND(-385,0)</f>
        <v>-385</v>
      </c>
      <c r="I65" s="6">
        <f t="shared" si="5"/>
        <v>0</v>
      </c>
      <c r="J65" s="6">
        <f>ROUND(8.407077,2)</f>
        <v>8.41</v>
      </c>
      <c r="K65" s="5">
        <f t="shared" si="6"/>
        <v>0</v>
      </c>
      <c r="L65" s="7">
        <f t="shared" si="7"/>
        <v>0</v>
      </c>
    </row>
    <row r="66" spans="1:12">
      <c r="A66" s="3" t="s">
        <v>139</v>
      </c>
      <c r="B66" s="4" t="s">
        <v>140</v>
      </c>
      <c r="C66" s="4"/>
      <c r="D66" s="4"/>
      <c r="E66" s="4" t="s">
        <v>30</v>
      </c>
      <c r="F66" s="4" t="s">
        <v>26</v>
      </c>
      <c r="G66" s="4" t="s">
        <v>27</v>
      </c>
      <c r="H66" s="5">
        <f>ROUND(-5,0)</f>
        <v>-5</v>
      </c>
      <c r="I66" s="6">
        <f t="shared" si="5"/>
        <v>0</v>
      </c>
      <c r="J66" s="6">
        <f>ROUND(1.15901246,2)</f>
        <v>1.1599999999999999</v>
      </c>
      <c r="K66" s="5">
        <f t="shared" si="6"/>
        <v>0</v>
      </c>
      <c r="L66" s="7">
        <f t="shared" si="7"/>
        <v>0</v>
      </c>
    </row>
    <row r="67" spans="1:12">
      <c r="A67" s="3" t="s">
        <v>141</v>
      </c>
      <c r="B67" s="4" t="s">
        <v>142</v>
      </c>
      <c r="C67" s="4"/>
      <c r="D67" s="4"/>
      <c r="E67" s="4" t="s">
        <v>30</v>
      </c>
      <c r="F67" s="4" t="s">
        <v>26</v>
      </c>
      <c r="G67" s="4" t="s">
        <v>27</v>
      </c>
      <c r="H67" s="5">
        <f>ROUND(-22400,0)</f>
        <v>-22400</v>
      </c>
      <c r="I67" s="6">
        <f t="shared" si="5"/>
        <v>0</v>
      </c>
      <c r="J67" s="6">
        <f>ROUND(1.15901246,2)</f>
        <v>1.1599999999999999</v>
      </c>
      <c r="K67" s="5">
        <f t="shared" si="6"/>
        <v>0</v>
      </c>
      <c r="L67" s="7">
        <f t="shared" si="7"/>
        <v>0</v>
      </c>
    </row>
    <row r="68" spans="1:12">
      <c r="A68" s="3" t="s">
        <v>143</v>
      </c>
      <c r="B68" s="4" t="s">
        <v>144</v>
      </c>
      <c r="C68" s="4"/>
      <c r="D68" s="4"/>
      <c r="E68" s="4" t="s">
        <v>35</v>
      </c>
      <c r="F68" s="4" t="s">
        <v>21</v>
      </c>
      <c r="G68" s="4" t="s">
        <v>27</v>
      </c>
      <c r="H68" s="5">
        <f>ROUND(0,0)</f>
        <v>0</v>
      </c>
      <c r="I68" s="6">
        <f t="shared" si="5"/>
        <v>0</v>
      </c>
      <c r="J68" s="6">
        <f>ROUND(9.08595,2)</f>
        <v>9.09</v>
      </c>
      <c r="K68" s="5">
        <f t="shared" si="6"/>
        <v>0</v>
      </c>
      <c r="L68" s="7">
        <f t="shared" si="7"/>
        <v>0</v>
      </c>
    </row>
    <row r="69" spans="1:12">
      <c r="A69" s="3" t="s">
        <v>145</v>
      </c>
      <c r="B69" s="4" t="s">
        <v>146</v>
      </c>
      <c r="C69" s="4"/>
      <c r="D69" s="4"/>
      <c r="E69" s="4" t="s">
        <v>30</v>
      </c>
      <c r="F69" s="4" t="s">
        <v>26</v>
      </c>
      <c r="G69" s="4" t="s">
        <v>27</v>
      </c>
      <c r="H69" s="5">
        <f>ROUND(-950,0)</f>
        <v>-950</v>
      </c>
      <c r="I69" s="6">
        <f t="shared" si="5"/>
        <v>0</v>
      </c>
      <c r="J69" s="6">
        <f>ROUND(1.15901246,2)</f>
        <v>1.1599999999999999</v>
      </c>
      <c r="K69" s="5">
        <f t="shared" si="6"/>
        <v>0</v>
      </c>
      <c r="L69" s="7">
        <f t="shared" si="7"/>
        <v>0</v>
      </c>
    </row>
    <row r="70" spans="1:12">
      <c r="A70" s="3" t="s">
        <v>147</v>
      </c>
      <c r="B70" s="4" t="s">
        <v>148</v>
      </c>
      <c r="C70" s="4"/>
      <c r="D70" s="4"/>
      <c r="E70" s="4" t="s">
        <v>30</v>
      </c>
      <c r="F70" s="4" t="s">
        <v>45</v>
      </c>
      <c r="G70" s="4" t="s">
        <v>27</v>
      </c>
      <c r="H70" s="5">
        <f>ROUND(0,0)</f>
        <v>0</v>
      </c>
      <c r="I70" s="6">
        <f t="shared" si="5"/>
        <v>0</v>
      </c>
      <c r="J70" s="6">
        <f>ROUND(8.407077,2)</f>
        <v>8.41</v>
      </c>
      <c r="K70" s="5">
        <f t="shared" si="6"/>
        <v>0</v>
      </c>
      <c r="L70" s="7">
        <f t="shared" si="7"/>
        <v>0</v>
      </c>
    </row>
    <row r="71" spans="1:12">
      <c r="A71" s="3" t="s">
        <v>149</v>
      </c>
      <c r="B71" s="4" t="s">
        <v>150</v>
      </c>
      <c r="C71" s="4"/>
      <c r="D71" s="4"/>
      <c r="E71" s="4" t="s">
        <v>25</v>
      </c>
      <c r="F71" s="4" t="s">
        <v>26</v>
      </c>
      <c r="G71" s="4" t="s">
        <v>27</v>
      </c>
      <c r="H71" s="5">
        <f>ROUND(-9999,0)</f>
        <v>-9999</v>
      </c>
      <c r="I71" s="6">
        <f t="shared" si="5"/>
        <v>0</v>
      </c>
      <c r="J71" s="6">
        <f>ROUND(1.15901246,2)</f>
        <v>1.1599999999999999</v>
      </c>
      <c r="K71" s="5">
        <f t="shared" si="6"/>
        <v>0</v>
      </c>
      <c r="L71" s="7">
        <f t="shared" si="7"/>
        <v>0</v>
      </c>
    </row>
    <row r="72" spans="1:12">
      <c r="A72" s="3" t="s">
        <v>151</v>
      </c>
      <c r="B72" s="4" t="s">
        <v>152</v>
      </c>
      <c r="C72" s="4"/>
      <c r="D72" s="4"/>
      <c r="E72" s="4" t="s">
        <v>30</v>
      </c>
      <c r="F72" s="4" t="s">
        <v>72</v>
      </c>
      <c r="G72" s="4" t="s">
        <v>27</v>
      </c>
      <c r="H72" s="5">
        <f>ROUND(-7187,0)</f>
        <v>-7187</v>
      </c>
      <c r="I72" s="6">
        <f t="shared" si="5"/>
        <v>0</v>
      </c>
      <c r="J72" s="6">
        <f>ROUND(6.12812423,2)</f>
        <v>6.13</v>
      </c>
      <c r="K72" s="5">
        <f t="shared" si="6"/>
        <v>0</v>
      </c>
      <c r="L72" s="7">
        <f t="shared" si="7"/>
        <v>0</v>
      </c>
    </row>
    <row r="73" spans="1:12">
      <c r="A73" s="3" t="s">
        <v>153</v>
      </c>
      <c r="B73" s="4" t="s">
        <v>154</v>
      </c>
      <c r="C73" s="4"/>
      <c r="D73" s="4"/>
      <c r="E73" s="4" t="s">
        <v>35</v>
      </c>
      <c r="F73" s="4" t="s">
        <v>21</v>
      </c>
      <c r="G73" s="4" t="s">
        <v>27</v>
      </c>
      <c r="H73" s="5">
        <f>ROUND(-313,0)</f>
        <v>-313</v>
      </c>
      <c r="I73" s="6">
        <f t="shared" si="5"/>
        <v>0</v>
      </c>
      <c r="J73" s="6">
        <f>ROUND(9.08595,2)</f>
        <v>9.09</v>
      </c>
      <c r="K73" s="5">
        <f t="shared" si="6"/>
        <v>0</v>
      </c>
      <c r="L73" s="7">
        <f t="shared" si="7"/>
        <v>0</v>
      </c>
    </row>
    <row r="74" spans="1:12">
      <c r="A74" s="3" t="s">
        <v>155</v>
      </c>
      <c r="B74" s="4" t="s">
        <v>156</v>
      </c>
      <c r="C74" s="4"/>
      <c r="D74" s="4"/>
      <c r="E74" s="4" t="s">
        <v>30</v>
      </c>
      <c r="F74" s="4" t="s">
        <v>45</v>
      </c>
      <c r="G74" s="4" t="s">
        <v>27</v>
      </c>
      <c r="H74" s="5">
        <f>ROUND(0,0)</f>
        <v>0</v>
      </c>
      <c r="I74" s="6">
        <f t="shared" si="5"/>
        <v>0</v>
      </c>
      <c r="J74" s="6">
        <f>ROUND(8.407077,2)</f>
        <v>8.41</v>
      </c>
      <c r="K74" s="5">
        <f t="shared" si="6"/>
        <v>0</v>
      </c>
      <c r="L74" s="7">
        <f t="shared" si="7"/>
        <v>0</v>
      </c>
    </row>
    <row r="75" spans="1:12">
      <c r="A75" s="3" t="s">
        <v>157</v>
      </c>
      <c r="B75" s="4" t="s">
        <v>158</v>
      </c>
      <c r="C75" s="4"/>
      <c r="D75" s="4"/>
      <c r="E75" s="4" t="s">
        <v>25</v>
      </c>
      <c r="F75" s="4" t="s">
        <v>95</v>
      </c>
      <c r="G75" s="4" t="s">
        <v>27</v>
      </c>
      <c r="H75" s="5">
        <f>ROUND(0,0)</f>
        <v>0</v>
      </c>
      <c r="I75" s="6">
        <f t="shared" ref="I75:I106" si="8">ROUND(0,2)</f>
        <v>0</v>
      </c>
      <c r="J75" s="6">
        <f>ROUND(0.4601869,2)</f>
        <v>0.46</v>
      </c>
      <c r="K75" s="5">
        <f t="shared" ref="K75:K106" si="9">ROUND(0,0)</f>
        <v>0</v>
      </c>
      <c r="L75" s="7">
        <f t="shared" ref="L75:L106" si="10">ROUND(0,4)</f>
        <v>0</v>
      </c>
    </row>
    <row r="76" spans="1:12">
      <c r="A76" s="3" t="s">
        <v>159</v>
      </c>
      <c r="B76" s="4" t="s">
        <v>160</v>
      </c>
      <c r="C76" s="4"/>
      <c r="D76" s="4"/>
      <c r="E76" s="4" t="s">
        <v>25</v>
      </c>
      <c r="F76" s="4" t="s">
        <v>19</v>
      </c>
      <c r="G76" s="4" t="s">
        <v>27</v>
      </c>
      <c r="H76" s="5">
        <f>ROUND(0,0)</f>
        <v>0</v>
      </c>
      <c r="I76" s="6">
        <f t="shared" si="8"/>
        <v>0</v>
      </c>
      <c r="J76" s="6">
        <f>ROUND(1.3267035,2)</f>
        <v>1.33</v>
      </c>
      <c r="K76" s="5">
        <f t="shared" si="9"/>
        <v>0</v>
      </c>
      <c r="L76" s="7">
        <f t="shared" si="10"/>
        <v>0</v>
      </c>
    </row>
    <row r="77" spans="1:12">
      <c r="A77" s="3" t="s">
        <v>161</v>
      </c>
      <c r="B77" s="4" t="s">
        <v>162</v>
      </c>
      <c r="C77" s="4"/>
      <c r="D77" s="4"/>
      <c r="E77" s="4" t="s">
        <v>30</v>
      </c>
      <c r="F77" s="4" t="s">
        <v>26</v>
      </c>
      <c r="G77" s="4" t="s">
        <v>27</v>
      </c>
      <c r="H77" s="5">
        <f>ROUND(-110500,0)</f>
        <v>-110500</v>
      </c>
      <c r="I77" s="6">
        <f t="shared" si="8"/>
        <v>0</v>
      </c>
      <c r="J77" s="6">
        <f>ROUND(1.15901246,2)</f>
        <v>1.1599999999999999</v>
      </c>
      <c r="K77" s="5">
        <f t="shared" si="9"/>
        <v>0</v>
      </c>
      <c r="L77" s="7">
        <f t="shared" si="10"/>
        <v>0</v>
      </c>
    </row>
    <row r="78" spans="1:12">
      <c r="A78" s="3" t="s">
        <v>163</v>
      </c>
      <c r="B78" s="4" t="s">
        <v>164</v>
      </c>
      <c r="C78" s="4"/>
      <c r="D78" s="4"/>
      <c r="E78" s="4" t="s">
        <v>35</v>
      </c>
      <c r="F78" s="4" t="s">
        <v>21</v>
      </c>
      <c r="G78" s="4" t="s">
        <v>27</v>
      </c>
      <c r="H78" s="5">
        <f>ROUND(0,0)</f>
        <v>0</v>
      </c>
      <c r="I78" s="6">
        <f t="shared" si="8"/>
        <v>0</v>
      </c>
      <c r="J78" s="6">
        <f>ROUND(9.08595,2)</f>
        <v>9.09</v>
      </c>
      <c r="K78" s="5">
        <f t="shared" si="9"/>
        <v>0</v>
      </c>
      <c r="L78" s="7">
        <f t="shared" si="10"/>
        <v>0</v>
      </c>
    </row>
    <row r="79" spans="1:12">
      <c r="A79" s="3" t="s">
        <v>165</v>
      </c>
      <c r="B79" s="4" t="s">
        <v>166</v>
      </c>
      <c r="C79" s="4"/>
      <c r="D79" s="4"/>
      <c r="E79" s="4" t="s">
        <v>35</v>
      </c>
      <c r="F79" s="4" t="s">
        <v>21</v>
      </c>
      <c r="G79" s="4" t="s">
        <v>27</v>
      </c>
      <c r="H79" s="5">
        <f>ROUND(-1980,0)</f>
        <v>-1980</v>
      </c>
      <c r="I79" s="6">
        <f t="shared" si="8"/>
        <v>0</v>
      </c>
      <c r="J79" s="6">
        <f>ROUND(9.08595,2)</f>
        <v>9.09</v>
      </c>
      <c r="K79" s="5">
        <f t="shared" si="9"/>
        <v>0</v>
      </c>
      <c r="L79" s="7">
        <f t="shared" si="10"/>
        <v>0</v>
      </c>
    </row>
    <row r="80" spans="1:12">
      <c r="A80" s="3" t="s">
        <v>167</v>
      </c>
      <c r="B80" s="4" t="s">
        <v>168</v>
      </c>
      <c r="C80" s="4"/>
      <c r="D80" s="4"/>
      <c r="E80" s="4" t="s">
        <v>30</v>
      </c>
      <c r="F80" s="4" t="s">
        <v>18</v>
      </c>
      <c r="G80" s="4" t="s">
        <v>27</v>
      </c>
      <c r="H80" s="5">
        <f>ROUND(0,0)</f>
        <v>0</v>
      </c>
      <c r="I80" s="6">
        <f t="shared" si="8"/>
        <v>0</v>
      </c>
      <c r="J80" s="6">
        <f>ROUND(9.9055,2)</f>
        <v>9.91</v>
      </c>
      <c r="K80" s="5">
        <f t="shared" si="9"/>
        <v>0</v>
      </c>
      <c r="L80" s="7">
        <f t="shared" si="10"/>
        <v>0</v>
      </c>
    </row>
    <row r="81" spans="1:12">
      <c r="A81" s="3" t="s">
        <v>169</v>
      </c>
      <c r="B81" s="4" t="s">
        <v>170</v>
      </c>
      <c r="C81" s="4"/>
      <c r="D81" s="4"/>
      <c r="E81" s="4" t="s">
        <v>25</v>
      </c>
      <c r="F81" s="4" t="s">
        <v>26</v>
      </c>
      <c r="G81" s="4" t="s">
        <v>27</v>
      </c>
      <c r="H81" s="5">
        <f>ROUND(0,0)</f>
        <v>0</v>
      </c>
      <c r="I81" s="6">
        <f t="shared" si="8"/>
        <v>0</v>
      </c>
      <c r="J81" s="6">
        <f>ROUND(1.15901246,2)</f>
        <v>1.1599999999999999</v>
      </c>
      <c r="K81" s="5">
        <f t="shared" si="9"/>
        <v>0</v>
      </c>
      <c r="L81" s="7">
        <f t="shared" si="10"/>
        <v>0</v>
      </c>
    </row>
    <row r="82" spans="1:12">
      <c r="A82" s="3" t="s">
        <v>171</v>
      </c>
      <c r="B82" s="4" t="s">
        <v>172</v>
      </c>
      <c r="C82" s="4"/>
      <c r="D82" s="4"/>
      <c r="E82" s="4" t="s">
        <v>35</v>
      </c>
      <c r="F82" s="4" t="s">
        <v>21</v>
      </c>
      <c r="G82" s="4" t="s">
        <v>27</v>
      </c>
      <c r="H82" s="5">
        <f>ROUND(-780,0)</f>
        <v>-780</v>
      </c>
      <c r="I82" s="6">
        <f t="shared" si="8"/>
        <v>0</v>
      </c>
      <c r="J82" s="6">
        <f>ROUND(9.08595,2)</f>
        <v>9.09</v>
      </c>
      <c r="K82" s="5">
        <f t="shared" si="9"/>
        <v>0</v>
      </c>
      <c r="L82" s="7">
        <f t="shared" si="10"/>
        <v>0</v>
      </c>
    </row>
    <row r="83" spans="1:12">
      <c r="A83" s="3" t="s">
        <v>173</v>
      </c>
      <c r="B83" s="4" t="s">
        <v>174</v>
      </c>
      <c r="C83" s="4"/>
      <c r="D83" s="4"/>
      <c r="E83" s="4" t="s">
        <v>30</v>
      </c>
      <c r="F83" s="4" t="s">
        <v>175</v>
      </c>
      <c r="G83" s="4" t="s">
        <v>27</v>
      </c>
      <c r="H83" s="5">
        <f>ROUND(0,0)</f>
        <v>0</v>
      </c>
      <c r="I83" s="6">
        <f t="shared" si="8"/>
        <v>0</v>
      </c>
      <c r="J83" s="6">
        <f>ROUND(0.59923836,2)</f>
        <v>0.6</v>
      </c>
      <c r="K83" s="5">
        <f t="shared" si="9"/>
        <v>0</v>
      </c>
      <c r="L83" s="7">
        <f t="shared" si="10"/>
        <v>0</v>
      </c>
    </row>
    <row r="84" spans="1:12">
      <c r="A84" s="3" t="s">
        <v>176</v>
      </c>
      <c r="B84" s="4" t="s">
        <v>177</v>
      </c>
      <c r="C84" s="4"/>
      <c r="D84" s="4"/>
      <c r="E84" s="4" t="s">
        <v>30</v>
      </c>
      <c r="F84" s="4" t="s">
        <v>175</v>
      </c>
      <c r="G84" s="4" t="s">
        <v>27</v>
      </c>
      <c r="H84" s="5">
        <f>ROUND(-232,0)</f>
        <v>-232</v>
      </c>
      <c r="I84" s="6">
        <f t="shared" si="8"/>
        <v>0</v>
      </c>
      <c r="J84" s="6">
        <f>ROUND(0.59923836,2)</f>
        <v>0.6</v>
      </c>
      <c r="K84" s="5">
        <f t="shared" si="9"/>
        <v>0</v>
      </c>
      <c r="L84" s="7">
        <f t="shared" si="10"/>
        <v>0</v>
      </c>
    </row>
    <row r="85" spans="1:12">
      <c r="A85" s="3" t="s">
        <v>178</v>
      </c>
      <c r="B85" s="4" t="s">
        <v>179</v>
      </c>
      <c r="C85" s="4"/>
      <c r="D85" s="4"/>
      <c r="E85" s="4" t="s">
        <v>25</v>
      </c>
      <c r="F85" s="4" t="s">
        <v>26</v>
      </c>
      <c r="G85" s="4" t="s">
        <v>27</v>
      </c>
      <c r="H85" s="5">
        <f>ROUND(0,0)</f>
        <v>0</v>
      </c>
      <c r="I85" s="6">
        <f t="shared" si="8"/>
        <v>0</v>
      </c>
      <c r="J85" s="6">
        <f>ROUND(1.15901246,2)</f>
        <v>1.1599999999999999</v>
      </c>
      <c r="K85" s="5">
        <f t="shared" si="9"/>
        <v>0</v>
      </c>
      <c r="L85" s="7">
        <f t="shared" si="10"/>
        <v>0</v>
      </c>
    </row>
    <row r="86" spans="1:12">
      <c r="A86" s="3" t="s">
        <v>180</v>
      </c>
      <c r="B86" s="4" t="s">
        <v>181</v>
      </c>
      <c r="C86" s="4"/>
      <c r="D86" s="4"/>
      <c r="E86" s="4" t="s">
        <v>35</v>
      </c>
      <c r="F86" s="4" t="s">
        <v>21</v>
      </c>
      <c r="G86" s="4" t="s">
        <v>27</v>
      </c>
      <c r="H86" s="5">
        <f>ROUND(-60,0)</f>
        <v>-60</v>
      </c>
      <c r="I86" s="6">
        <f t="shared" si="8"/>
        <v>0</v>
      </c>
      <c r="J86" s="6">
        <f t="shared" ref="J86:J91" si="11">ROUND(9.08595,2)</f>
        <v>9.09</v>
      </c>
      <c r="K86" s="5">
        <f t="shared" si="9"/>
        <v>0</v>
      </c>
      <c r="L86" s="7">
        <f t="shared" si="10"/>
        <v>0</v>
      </c>
    </row>
    <row r="87" spans="1:12">
      <c r="A87" s="3" t="s">
        <v>180</v>
      </c>
      <c r="B87" s="4" t="s">
        <v>182</v>
      </c>
      <c r="C87" s="4"/>
      <c r="D87" s="4"/>
      <c r="E87" s="4" t="s">
        <v>35</v>
      </c>
      <c r="F87" s="4" t="s">
        <v>21</v>
      </c>
      <c r="G87" s="4" t="s">
        <v>27</v>
      </c>
      <c r="H87" s="5">
        <f>ROUND(-692,0)</f>
        <v>-692</v>
      </c>
      <c r="I87" s="6">
        <f t="shared" si="8"/>
        <v>0</v>
      </c>
      <c r="J87" s="6">
        <f t="shared" si="11"/>
        <v>9.09</v>
      </c>
      <c r="K87" s="5">
        <f t="shared" si="9"/>
        <v>0</v>
      </c>
      <c r="L87" s="7">
        <f t="shared" si="10"/>
        <v>0</v>
      </c>
    </row>
    <row r="88" spans="1:12">
      <c r="A88" s="3" t="s">
        <v>180</v>
      </c>
      <c r="B88" s="4" t="s">
        <v>183</v>
      </c>
      <c r="C88" s="4"/>
      <c r="D88" s="4"/>
      <c r="E88" s="4" t="s">
        <v>35</v>
      </c>
      <c r="F88" s="4" t="s">
        <v>21</v>
      </c>
      <c r="G88" s="4" t="s">
        <v>27</v>
      </c>
      <c r="H88" s="5">
        <f>ROUND(-577,0)</f>
        <v>-577</v>
      </c>
      <c r="I88" s="6">
        <f t="shared" si="8"/>
        <v>0</v>
      </c>
      <c r="J88" s="6">
        <f t="shared" si="11"/>
        <v>9.09</v>
      </c>
      <c r="K88" s="5">
        <f t="shared" si="9"/>
        <v>0</v>
      </c>
      <c r="L88" s="7">
        <f t="shared" si="10"/>
        <v>0</v>
      </c>
    </row>
    <row r="89" spans="1:12">
      <c r="A89" s="3" t="s">
        <v>180</v>
      </c>
      <c r="B89" s="4" t="s">
        <v>184</v>
      </c>
      <c r="C89" s="4"/>
      <c r="D89" s="4"/>
      <c r="E89" s="4" t="s">
        <v>35</v>
      </c>
      <c r="F89" s="4" t="s">
        <v>21</v>
      </c>
      <c r="G89" s="4" t="s">
        <v>27</v>
      </c>
      <c r="H89" s="5">
        <f>ROUND(-246,0)</f>
        <v>-246</v>
      </c>
      <c r="I89" s="6">
        <f t="shared" si="8"/>
        <v>0</v>
      </c>
      <c r="J89" s="6">
        <f t="shared" si="11"/>
        <v>9.09</v>
      </c>
      <c r="K89" s="5">
        <f t="shared" si="9"/>
        <v>0</v>
      </c>
      <c r="L89" s="7">
        <f t="shared" si="10"/>
        <v>0</v>
      </c>
    </row>
    <row r="90" spans="1:12">
      <c r="A90" s="3" t="s">
        <v>180</v>
      </c>
      <c r="B90" s="4" t="s">
        <v>185</v>
      </c>
      <c r="C90" s="4"/>
      <c r="D90" s="4"/>
      <c r="E90" s="4" t="s">
        <v>35</v>
      </c>
      <c r="F90" s="4" t="s">
        <v>21</v>
      </c>
      <c r="G90" s="4" t="s">
        <v>27</v>
      </c>
      <c r="H90" s="5">
        <f>ROUND(-100,0)</f>
        <v>-100</v>
      </c>
      <c r="I90" s="6">
        <f t="shared" si="8"/>
        <v>0</v>
      </c>
      <c r="J90" s="6">
        <f t="shared" si="11"/>
        <v>9.09</v>
      </c>
      <c r="K90" s="5">
        <f t="shared" si="9"/>
        <v>0</v>
      </c>
      <c r="L90" s="7">
        <f t="shared" si="10"/>
        <v>0</v>
      </c>
    </row>
    <row r="91" spans="1:12">
      <c r="A91" s="3" t="s">
        <v>186</v>
      </c>
      <c r="B91" s="4" t="s">
        <v>187</v>
      </c>
      <c r="C91" s="4"/>
      <c r="D91" s="4"/>
      <c r="E91" s="4" t="s">
        <v>35</v>
      </c>
      <c r="F91" s="4" t="s">
        <v>21</v>
      </c>
      <c r="G91" s="4" t="s">
        <v>27</v>
      </c>
      <c r="H91" s="5">
        <f>ROUND(-220,0)</f>
        <v>-220</v>
      </c>
      <c r="I91" s="6">
        <f t="shared" si="8"/>
        <v>0</v>
      </c>
      <c r="J91" s="6">
        <f t="shared" si="11"/>
        <v>9.09</v>
      </c>
      <c r="K91" s="5">
        <f t="shared" si="9"/>
        <v>0</v>
      </c>
      <c r="L91" s="7">
        <f t="shared" si="10"/>
        <v>0</v>
      </c>
    </row>
    <row r="92" spans="1:12">
      <c r="A92" s="3" t="s">
        <v>188</v>
      </c>
      <c r="B92" s="4" t="s">
        <v>189</v>
      </c>
      <c r="C92" s="4"/>
      <c r="D92" s="4"/>
      <c r="E92" s="4" t="s">
        <v>25</v>
      </c>
      <c r="F92" s="4" t="s">
        <v>190</v>
      </c>
      <c r="G92" s="4" t="s">
        <v>27</v>
      </c>
      <c r="H92" s="5">
        <f>ROUND(0,0)</f>
        <v>0</v>
      </c>
      <c r="I92" s="6">
        <f t="shared" si="8"/>
        <v>0</v>
      </c>
      <c r="J92" s="6">
        <f>ROUND(6.86237833,2)</f>
        <v>6.86</v>
      </c>
      <c r="K92" s="5">
        <f t="shared" si="9"/>
        <v>0</v>
      </c>
      <c r="L92" s="7">
        <f t="shared" si="10"/>
        <v>0</v>
      </c>
    </row>
    <row r="93" spans="1:12">
      <c r="A93" s="3" t="s">
        <v>191</v>
      </c>
      <c r="B93" s="4" t="s">
        <v>192</v>
      </c>
      <c r="C93" s="4"/>
      <c r="D93" s="4"/>
      <c r="E93" s="4" t="s">
        <v>30</v>
      </c>
      <c r="F93" s="4" t="s">
        <v>26</v>
      </c>
      <c r="G93" s="4" t="s">
        <v>27</v>
      </c>
      <c r="H93" s="5">
        <f>ROUND(-19800,0)</f>
        <v>-19800</v>
      </c>
      <c r="I93" s="6">
        <f t="shared" si="8"/>
        <v>0</v>
      </c>
      <c r="J93" s="6">
        <f>ROUND(1.15901246,2)</f>
        <v>1.1599999999999999</v>
      </c>
      <c r="K93" s="5">
        <f t="shared" si="9"/>
        <v>0</v>
      </c>
      <c r="L93" s="7">
        <f t="shared" si="10"/>
        <v>0</v>
      </c>
    </row>
    <row r="94" spans="1:12">
      <c r="A94" s="3" t="s">
        <v>193</v>
      </c>
      <c r="B94" s="4" t="s">
        <v>194</v>
      </c>
      <c r="C94" s="4"/>
      <c r="D94" s="4"/>
      <c r="E94" s="4" t="s">
        <v>35</v>
      </c>
      <c r="F94" s="4" t="s">
        <v>21</v>
      </c>
      <c r="G94" s="4" t="s">
        <v>27</v>
      </c>
      <c r="H94" s="5">
        <f>ROUND(-287,0)</f>
        <v>-287</v>
      </c>
      <c r="I94" s="6">
        <f t="shared" si="8"/>
        <v>0</v>
      </c>
      <c r="J94" s="6">
        <f>ROUND(9.08595,2)</f>
        <v>9.09</v>
      </c>
      <c r="K94" s="5">
        <f t="shared" si="9"/>
        <v>0</v>
      </c>
      <c r="L94" s="7">
        <f t="shared" si="10"/>
        <v>0</v>
      </c>
    </row>
    <row r="95" spans="1:12">
      <c r="A95" s="3" t="s">
        <v>195</v>
      </c>
      <c r="B95" s="4" t="s">
        <v>196</v>
      </c>
      <c r="C95" s="4"/>
      <c r="D95" s="4"/>
      <c r="E95" s="4" t="s">
        <v>25</v>
      </c>
      <c r="F95" s="4" t="s">
        <v>190</v>
      </c>
      <c r="G95" s="4" t="s">
        <v>27</v>
      </c>
      <c r="H95" s="5">
        <f>ROUND(0,0)</f>
        <v>0</v>
      </c>
      <c r="I95" s="6">
        <f t="shared" si="8"/>
        <v>0</v>
      </c>
      <c r="J95" s="6">
        <f>ROUND(6.86237833,2)</f>
        <v>6.86</v>
      </c>
      <c r="K95" s="5">
        <f t="shared" si="9"/>
        <v>0</v>
      </c>
      <c r="L95" s="7">
        <f t="shared" si="10"/>
        <v>0</v>
      </c>
    </row>
    <row r="96" spans="1:12">
      <c r="A96" s="3" t="s">
        <v>180</v>
      </c>
      <c r="B96" s="4" t="s">
        <v>197</v>
      </c>
      <c r="C96" s="4"/>
      <c r="D96" s="4"/>
      <c r="E96" s="4" t="s">
        <v>35</v>
      </c>
      <c r="F96" s="4" t="s">
        <v>21</v>
      </c>
      <c r="G96" s="4" t="s">
        <v>27</v>
      </c>
      <c r="H96" s="5">
        <f>ROUND(-170,0)</f>
        <v>-170</v>
      </c>
      <c r="I96" s="6">
        <f t="shared" si="8"/>
        <v>0</v>
      </c>
      <c r="J96" s="6">
        <f>ROUND(9.08595,2)</f>
        <v>9.09</v>
      </c>
      <c r="K96" s="5">
        <f t="shared" si="9"/>
        <v>0</v>
      </c>
      <c r="L96" s="7">
        <f t="shared" si="10"/>
        <v>0</v>
      </c>
    </row>
    <row r="97" spans="1:12">
      <c r="A97" s="3" t="s">
        <v>198</v>
      </c>
      <c r="B97" s="4" t="s">
        <v>199</v>
      </c>
      <c r="C97" s="4"/>
      <c r="D97" s="4"/>
      <c r="E97" s="4" t="s">
        <v>30</v>
      </c>
      <c r="F97" s="4" t="s">
        <v>26</v>
      </c>
      <c r="G97" s="4" t="s">
        <v>27</v>
      </c>
      <c r="H97" s="5">
        <f>ROUND(-100800,0)</f>
        <v>-100800</v>
      </c>
      <c r="I97" s="6">
        <f t="shared" si="8"/>
        <v>0</v>
      </c>
      <c r="J97" s="6">
        <f>ROUND(1.15901246,2)</f>
        <v>1.1599999999999999</v>
      </c>
      <c r="K97" s="5">
        <f t="shared" si="9"/>
        <v>0</v>
      </c>
      <c r="L97" s="7">
        <f t="shared" si="10"/>
        <v>0</v>
      </c>
    </row>
    <row r="98" spans="1:12">
      <c r="A98" s="3" t="s">
        <v>200</v>
      </c>
      <c r="B98" s="4" t="s">
        <v>201</v>
      </c>
      <c r="C98" s="4"/>
      <c r="D98" s="4"/>
      <c r="E98" s="4" t="s">
        <v>35</v>
      </c>
      <c r="F98" s="4" t="s">
        <v>21</v>
      </c>
      <c r="G98" s="4" t="s">
        <v>27</v>
      </c>
      <c r="H98" s="5">
        <f>ROUND(0,0)</f>
        <v>0</v>
      </c>
      <c r="I98" s="6">
        <f t="shared" si="8"/>
        <v>0</v>
      </c>
      <c r="J98" s="6">
        <f>ROUND(9.08595,2)</f>
        <v>9.09</v>
      </c>
      <c r="K98" s="5">
        <f t="shared" si="9"/>
        <v>0</v>
      </c>
      <c r="L98" s="7">
        <f t="shared" si="10"/>
        <v>0</v>
      </c>
    </row>
    <row r="99" spans="1:12">
      <c r="A99" s="3" t="s">
        <v>202</v>
      </c>
      <c r="B99" s="4" t="s">
        <v>203</v>
      </c>
      <c r="C99" s="4"/>
      <c r="D99" s="4"/>
      <c r="E99" s="4" t="s">
        <v>35</v>
      </c>
      <c r="F99" s="4" t="s">
        <v>21</v>
      </c>
      <c r="G99" s="4" t="s">
        <v>27</v>
      </c>
      <c r="H99" s="5">
        <f>ROUND(-402,0)</f>
        <v>-402</v>
      </c>
      <c r="I99" s="6">
        <f t="shared" si="8"/>
        <v>0</v>
      </c>
      <c r="J99" s="6">
        <f>ROUND(9.08595,2)</f>
        <v>9.09</v>
      </c>
      <c r="K99" s="5">
        <f t="shared" si="9"/>
        <v>0</v>
      </c>
      <c r="L99" s="7">
        <f t="shared" si="10"/>
        <v>0</v>
      </c>
    </row>
    <row r="100" spans="1:12">
      <c r="A100" s="3" t="s">
        <v>204</v>
      </c>
      <c r="B100" s="4" t="s">
        <v>205</v>
      </c>
      <c r="C100" s="4"/>
      <c r="D100" s="4"/>
      <c r="E100" s="4" t="s">
        <v>30</v>
      </c>
      <c r="F100" s="4" t="s">
        <v>26</v>
      </c>
      <c r="G100" s="4" t="s">
        <v>27</v>
      </c>
      <c r="H100" s="5">
        <f>ROUND(-33480,0)</f>
        <v>-33480</v>
      </c>
      <c r="I100" s="6">
        <f t="shared" si="8"/>
        <v>0</v>
      </c>
      <c r="J100" s="6">
        <f>ROUND(1.15901246,2)</f>
        <v>1.1599999999999999</v>
      </c>
      <c r="K100" s="5">
        <f t="shared" si="9"/>
        <v>0</v>
      </c>
      <c r="L100" s="7">
        <f t="shared" si="10"/>
        <v>0</v>
      </c>
    </row>
    <row r="101" spans="1:12">
      <c r="A101" s="3" t="s">
        <v>206</v>
      </c>
      <c r="B101" s="4" t="s">
        <v>207</v>
      </c>
      <c r="C101" s="4"/>
      <c r="D101" s="4"/>
      <c r="E101" s="4" t="s">
        <v>30</v>
      </c>
      <c r="F101" s="4" t="s">
        <v>26</v>
      </c>
      <c r="G101" s="4" t="s">
        <v>27</v>
      </c>
      <c r="H101" s="5">
        <f>ROUND(-88200,0)</f>
        <v>-88200</v>
      </c>
      <c r="I101" s="6">
        <f t="shared" si="8"/>
        <v>0</v>
      </c>
      <c r="J101" s="6">
        <f>ROUND(1.15901246,2)</f>
        <v>1.1599999999999999</v>
      </c>
      <c r="K101" s="5">
        <f t="shared" si="9"/>
        <v>0</v>
      </c>
      <c r="L101" s="7">
        <f t="shared" si="10"/>
        <v>0</v>
      </c>
    </row>
    <row r="102" spans="1:12">
      <c r="A102" s="3" t="s">
        <v>208</v>
      </c>
      <c r="B102" s="4" t="s">
        <v>209</v>
      </c>
      <c r="C102" s="4"/>
      <c r="D102" s="4"/>
      <c r="E102" s="4" t="s">
        <v>30</v>
      </c>
      <c r="F102" s="4" t="s">
        <v>18</v>
      </c>
      <c r="G102" s="4" t="s">
        <v>27</v>
      </c>
      <c r="H102" s="5">
        <f>ROUND(0,0)</f>
        <v>0</v>
      </c>
      <c r="I102" s="6">
        <f t="shared" si="8"/>
        <v>0</v>
      </c>
      <c r="J102" s="6">
        <f>ROUND(9.9055,2)</f>
        <v>9.91</v>
      </c>
      <c r="K102" s="5">
        <f t="shared" si="9"/>
        <v>0</v>
      </c>
      <c r="L102" s="7">
        <f t="shared" si="10"/>
        <v>0</v>
      </c>
    </row>
    <row r="103" spans="1:12">
      <c r="A103" s="3" t="s">
        <v>210</v>
      </c>
      <c r="B103" s="4" t="s">
        <v>211</v>
      </c>
      <c r="C103" s="4"/>
      <c r="D103" s="4"/>
      <c r="E103" s="4" t="s">
        <v>35</v>
      </c>
      <c r="F103" s="4" t="s">
        <v>21</v>
      </c>
      <c r="G103" s="4" t="s">
        <v>27</v>
      </c>
      <c r="H103" s="5">
        <f>ROUND(0,0)</f>
        <v>0</v>
      </c>
      <c r="I103" s="6">
        <f t="shared" si="8"/>
        <v>0</v>
      </c>
      <c r="J103" s="6">
        <f>ROUND(9.08595,2)</f>
        <v>9.09</v>
      </c>
      <c r="K103" s="5">
        <f t="shared" si="9"/>
        <v>0</v>
      </c>
      <c r="L103" s="7">
        <f t="shared" si="10"/>
        <v>0</v>
      </c>
    </row>
    <row r="104" spans="1:12">
      <c r="A104" s="3" t="s">
        <v>212</v>
      </c>
      <c r="B104" s="4" t="s">
        <v>213</v>
      </c>
      <c r="C104" s="4"/>
      <c r="D104" s="4"/>
      <c r="E104" s="4" t="s">
        <v>35</v>
      </c>
      <c r="F104" s="4" t="s">
        <v>21</v>
      </c>
      <c r="G104" s="4" t="s">
        <v>27</v>
      </c>
      <c r="H104" s="5">
        <f>ROUND(0,0)</f>
        <v>0</v>
      </c>
      <c r="I104" s="6">
        <f t="shared" si="8"/>
        <v>0</v>
      </c>
      <c r="J104" s="6">
        <f>ROUND(9.08595,2)</f>
        <v>9.09</v>
      </c>
      <c r="K104" s="5">
        <f t="shared" si="9"/>
        <v>0</v>
      </c>
      <c r="L104" s="7">
        <f t="shared" si="10"/>
        <v>0</v>
      </c>
    </row>
    <row r="105" spans="1:12">
      <c r="A105" s="3" t="s">
        <v>214</v>
      </c>
      <c r="B105" s="4" t="s">
        <v>215</v>
      </c>
      <c r="C105" s="4"/>
      <c r="D105" s="4"/>
      <c r="E105" s="4" t="s">
        <v>30</v>
      </c>
      <c r="F105" s="4" t="s">
        <v>26</v>
      </c>
      <c r="G105" s="4" t="s">
        <v>27</v>
      </c>
      <c r="H105" s="5">
        <f>ROUND(0,0)</f>
        <v>0</v>
      </c>
      <c r="I105" s="6">
        <f t="shared" si="8"/>
        <v>0</v>
      </c>
      <c r="J105" s="6">
        <f>ROUND(1.15901246,2)</f>
        <v>1.1599999999999999</v>
      </c>
      <c r="K105" s="5">
        <f t="shared" si="9"/>
        <v>0</v>
      </c>
      <c r="L105" s="7">
        <f t="shared" si="10"/>
        <v>0</v>
      </c>
    </row>
    <row r="106" spans="1:12">
      <c r="A106" s="3" t="s">
        <v>216</v>
      </c>
      <c r="B106" s="4" t="s">
        <v>217</v>
      </c>
      <c r="C106" s="4"/>
      <c r="D106" s="4"/>
      <c r="E106" s="4" t="s">
        <v>35</v>
      </c>
      <c r="F106" s="4" t="s">
        <v>21</v>
      </c>
      <c r="G106" s="4" t="s">
        <v>27</v>
      </c>
      <c r="H106" s="5">
        <f>ROUND(-1019,0)</f>
        <v>-1019</v>
      </c>
      <c r="I106" s="6">
        <f t="shared" si="8"/>
        <v>0</v>
      </c>
      <c r="J106" s="6">
        <f>ROUND(9.08595,2)</f>
        <v>9.09</v>
      </c>
      <c r="K106" s="5">
        <f t="shared" si="9"/>
        <v>0</v>
      </c>
      <c r="L106" s="7">
        <f t="shared" si="10"/>
        <v>0</v>
      </c>
    </row>
    <row r="107" spans="1:12">
      <c r="A107" s="3" t="s">
        <v>218</v>
      </c>
      <c r="B107" s="4" t="s">
        <v>219</v>
      </c>
      <c r="C107" s="4"/>
      <c r="D107" s="4"/>
      <c r="E107" s="4" t="s">
        <v>35</v>
      </c>
      <c r="F107" s="4" t="s">
        <v>21</v>
      </c>
      <c r="G107" s="4" t="s">
        <v>27</v>
      </c>
      <c r="H107" s="5">
        <f>ROUND(-6607,0)</f>
        <v>-6607</v>
      </c>
      <c r="I107" s="6">
        <f t="shared" ref="I107:I138" si="12">ROUND(0,2)</f>
        <v>0</v>
      </c>
      <c r="J107" s="6">
        <f>ROUND(9.08595,2)</f>
        <v>9.09</v>
      </c>
      <c r="K107" s="5">
        <f t="shared" ref="K107:K138" si="13">ROUND(0,0)</f>
        <v>0</v>
      </c>
      <c r="L107" s="7">
        <f t="shared" ref="L107:L138" si="14">ROUND(0,4)</f>
        <v>0</v>
      </c>
    </row>
    <row r="108" spans="1:12">
      <c r="A108" s="3" t="s">
        <v>220</v>
      </c>
      <c r="B108" s="4" t="s">
        <v>221</v>
      </c>
      <c r="C108" s="4"/>
      <c r="D108" s="4"/>
      <c r="E108" s="4" t="s">
        <v>35</v>
      </c>
      <c r="F108" s="4" t="s">
        <v>21</v>
      </c>
      <c r="G108" s="4" t="s">
        <v>27</v>
      </c>
      <c r="H108" s="5">
        <f>ROUND(0,0)</f>
        <v>0</v>
      </c>
      <c r="I108" s="6">
        <f t="shared" si="12"/>
        <v>0</v>
      </c>
      <c r="J108" s="6">
        <f>ROUND(9.08595,2)</f>
        <v>9.09</v>
      </c>
      <c r="K108" s="5">
        <f t="shared" si="13"/>
        <v>0</v>
      </c>
      <c r="L108" s="7">
        <f t="shared" si="14"/>
        <v>0</v>
      </c>
    </row>
    <row r="109" spans="1:12">
      <c r="A109" s="3" t="s">
        <v>222</v>
      </c>
      <c r="B109" s="4" t="s">
        <v>223</v>
      </c>
      <c r="C109" s="4"/>
      <c r="D109" s="4"/>
      <c r="E109" s="4" t="s">
        <v>30</v>
      </c>
      <c r="F109" s="4" t="s">
        <v>26</v>
      </c>
      <c r="G109" s="4" t="s">
        <v>27</v>
      </c>
      <c r="H109" s="5">
        <f>ROUND(-11372,0)</f>
        <v>-11372</v>
      </c>
      <c r="I109" s="6">
        <f t="shared" si="12"/>
        <v>0</v>
      </c>
      <c r="J109" s="6">
        <f>ROUND(1.15901246,2)</f>
        <v>1.1599999999999999</v>
      </c>
      <c r="K109" s="5">
        <f t="shared" si="13"/>
        <v>0</v>
      </c>
      <c r="L109" s="7">
        <f t="shared" si="14"/>
        <v>0</v>
      </c>
    </row>
    <row r="110" spans="1:12">
      <c r="A110" s="3" t="s">
        <v>224</v>
      </c>
      <c r="B110" s="4" t="s">
        <v>225</v>
      </c>
      <c r="C110" s="4"/>
      <c r="D110" s="4"/>
      <c r="E110" s="4" t="s">
        <v>30</v>
      </c>
      <c r="F110" s="4" t="s">
        <v>26</v>
      </c>
      <c r="G110" s="4" t="s">
        <v>27</v>
      </c>
      <c r="H110" s="5">
        <f>ROUND(0,0)</f>
        <v>0</v>
      </c>
      <c r="I110" s="6">
        <f t="shared" si="12"/>
        <v>0</v>
      </c>
      <c r="J110" s="6">
        <f>ROUND(1.15901246,2)</f>
        <v>1.1599999999999999</v>
      </c>
      <c r="K110" s="5">
        <f t="shared" si="13"/>
        <v>0</v>
      </c>
      <c r="L110" s="7">
        <f t="shared" si="14"/>
        <v>0</v>
      </c>
    </row>
    <row r="111" spans="1:12">
      <c r="A111" s="3" t="s">
        <v>226</v>
      </c>
      <c r="B111" s="4" t="s">
        <v>227</v>
      </c>
      <c r="C111" s="4"/>
      <c r="D111" s="4"/>
      <c r="E111" s="4" t="s">
        <v>35</v>
      </c>
      <c r="F111" s="4" t="s">
        <v>21</v>
      </c>
      <c r="G111" s="4" t="s">
        <v>27</v>
      </c>
      <c r="H111" s="5">
        <f>ROUND(0,0)</f>
        <v>0</v>
      </c>
      <c r="I111" s="6">
        <f t="shared" si="12"/>
        <v>0</v>
      </c>
      <c r="J111" s="6">
        <f>ROUND(9.08595,2)</f>
        <v>9.09</v>
      </c>
      <c r="K111" s="5">
        <f t="shared" si="13"/>
        <v>0</v>
      </c>
      <c r="L111" s="7">
        <f t="shared" si="14"/>
        <v>0</v>
      </c>
    </row>
    <row r="112" spans="1:12">
      <c r="A112" s="3" t="s">
        <v>228</v>
      </c>
      <c r="B112" s="4" t="s">
        <v>229</v>
      </c>
      <c r="C112" s="4"/>
      <c r="D112" s="4"/>
      <c r="E112" s="4" t="s">
        <v>30</v>
      </c>
      <c r="F112" s="4" t="s">
        <v>18</v>
      </c>
      <c r="G112" s="4" t="s">
        <v>27</v>
      </c>
      <c r="H112" s="5">
        <f>ROUND(0,0)</f>
        <v>0</v>
      </c>
      <c r="I112" s="6">
        <f t="shared" si="12"/>
        <v>0</v>
      </c>
      <c r="J112" s="6">
        <f>ROUND(9.9055,2)</f>
        <v>9.91</v>
      </c>
      <c r="K112" s="5">
        <f t="shared" si="13"/>
        <v>0</v>
      </c>
      <c r="L112" s="7">
        <f t="shared" si="14"/>
        <v>0</v>
      </c>
    </row>
    <row r="113" spans="1:12">
      <c r="A113" s="3" t="s">
        <v>230</v>
      </c>
      <c r="B113" s="4" t="s">
        <v>231</v>
      </c>
      <c r="C113" s="4"/>
      <c r="D113" s="4"/>
      <c r="E113" s="4" t="s">
        <v>35</v>
      </c>
      <c r="F113" s="4" t="s">
        <v>21</v>
      </c>
      <c r="G113" s="4" t="s">
        <v>27</v>
      </c>
      <c r="H113" s="5">
        <f>ROUND(-9,0)</f>
        <v>-9</v>
      </c>
      <c r="I113" s="6">
        <f t="shared" si="12"/>
        <v>0</v>
      </c>
      <c r="J113" s="6">
        <f>ROUND(9.08595,2)</f>
        <v>9.09</v>
      </c>
      <c r="K113" s="5">
        <f t="shared" si="13"/>
        <v>0</v>
      </c>
      <c r="L113" s="7">
        <f t="shared" si="14"/>
        <v>0</v>
      </c>
    </row>
    <row r="114" spans="1:12">
      <c r="A114" s="3" t="s">
        <v>232</v>
      </c>
      <c r="B114" s="4" t="s">
        <v>233</v>
      </c>
      <c r="C114" s="4"/>
      <c r="D114" s="4"/>
      <c r="E114" s="4" t="s">
        <v>35</v>
      </c>
      <c r="F114" s="4" t="s">
        <v>21</v>
      </c>
      <c r="G114" s="4" t="s">
        <v>27</v>
      </c>
      <c r="H114" s="5">
        <f>ROUND(0,0)</f>
        <v>0</v>
      </c>
      <c r="I114" s="6">
        <f t="shared" si="12"/>
        <v>0</v>
      </c>
      <c r="J114" s="6">
        <f>ROUND(9.08595,2)</f>
        <v>9.09</v>
      </c>
      <c r="K114" s="5">
        <f t="shared" si="13"/>
        <v>0</v>
      </c>
      <c r="L114" s="7">
        <f t="shared" si="14"/>
        <v>0</v>
      </c>
    </row>
    <row r="115" spans="1:12">
      <c r="A115" s="3" t="s">
        <v>234</v>
      </c>
      <c r="B115" s="4" t="s">
        <v>235</v>
      </c>
      <c r="C115" s="4"/>
      <c r="D115" s="4"/>
      <c r="E115" s="4" t="s">
        <v>35</v>
      </c>
      <c r="F115" s="4" t="s">
        <v>21</v>
      </c>
      <c r="G115" s="4" t="s">
        <v>27</v>
      </c>
      <c r="H115" s="5">
        <f>ROUND(-483,0)</f>
        <v>-483</v>
      </c>
      <c r="I115" s="6">
        <f t="shared" si="12"/>
        <v>0</v>
      </c>
      <c r="J115" s="6">
        <f>ROUND(9.08595,2)</f>
        <v>9.09</v>
      </c>
      <c r="K115" s="5">
        <f t="shared" si="13"/>
        <v>0</v>
      </c>
      <c r="L115" s="7">
        <f t="shared" si="14"/>
        <v>0</v>
      </c>
    </row>
    <row r="116" spans="1:12">
      <c r="A116" s="3" t="s">
        <v>236</v>
      </c>
      <c r="B116" s="4" t="s">
        <v>237</v>
      </c>
      <c r="C116" s="4"/>
      <c r="D116" s="4"/>
      <c r="E116" s="4" t="s">
        <v>30</v>
      </c>
      <c r="F116" s="4" t="s">
        <v>18</v>
      </c>
      <c r="G116" s="4" t="s">
        <v>27</v>
      </c>
      <c r="H116" s="5">
        <f>ROUND(0,0)</f>
        <v>0</v>
      </c>
      <c r="I116" s="6">
        <f t="shared" si="12"/>
        <v>0</v>
      </c>
      <c r="J116" s="6">
        <f>ROUND(9.9055,2)</f>
        <v>9.91</v>
      </c>
      <c r="K116" s="5">
        <f t="shared" si="13"/>
        <v>0</v>
      </c>
      <c r="L116" s="7">
        <f t="shared" si="14"/>
        <v>0</v>
      </c>
    </row>
    <row r="117" spans="1:12">
      <c r="A117" s="3" t="s">
        <v>238</v>
      </c>
      <c r="B117" s="4" t="s">
        <v>239</v>
      </c>
      <c r="C117" s="4"/>
      <c r="D117" s="4"/>
      <c r="E117" s="4" t="s">
        <v>35</v>
      </c>
      <c r="F117" s="4" t="s">
        <v>21</v>
      </c>
      <c r="G117" s="4" t="s">
        <v>27</v>
      </c>
      <c r="H117" s="5">
        <f>ROUND(-720,0)</f>
        <v>-720</v>
      </c>
      <c r="I117" s="6">
        <f t="shared" si="12"/>
        <v>0</v>
      </c>
      <c r="J117" s="6">
        <f>ROUND(9.08595,2)</f>
        <v>9.09</v>
      </c>
      <c r="K117" s="5">
        <f t="shared" si="13"/>
        <v>0</v>
      </c>
      <c r="L117" s="7">
        <f t="shared" si="14"/>
        <v>0</v>
      </c>
    </row>
    <row r="118" spans="1:12">
      <c r="A118" s="3" t="s">
        <v>240</v>
      </c>
      <c r="B118" s="4" t="s">
        <v>241</v>
      </c>
      <c r="C118" s="4"/>
      <c r="D118" s="4"/>
      <c r="E118" s="4" t="s">
        <v>30</v>
      </c>
      <c r="F118" s="4" t="s">
        <v>18</v>
      </c>
      <c r="G118" s="4" t="s">
        <v>27</v>
      </c>
      <c r="H118" s="5">
        <f>ROUND(0,0)</f>
        <v>0</v>
      </c>
      <c r="I118" s="6">
        <f t="shared" si="12"/>
        <v>0</v>
      </c>
      <c r="J118" s="6">
        <f>ROUND(9.9055,2)</f>
        <v>9.91</v>
      </c>
      <c r="K118" s="5">
        <f t="shared" si="13"/>
        <v>0</v>
      </c>
      <c r="L118" s="7">
        <f t="shared" si="14"/>
        <v>0</v>
      </c>
    </row>
    <row r="119" spans="1:12">
      <c r="A119" s="3" t="s">
        <v>242</v>
      </c>
      <c r="B119" s="4" t="s">
        <v>243</v>
      </c>
      <c r="C119" s="4"/>
      <c r="D119" s="4"/>
      <c r="E119" s="4" t="s">
        <v>30</v>
      </c>
      <c r="F119" s="4" t="s">
        <v>18</v>
      </c>
      <c r="G119" s="4" t="s">
        <v>27</v>
      </c>
      <c r="H119" s="5">
        <f>ROUND(0,0)</f>
        <v>0</v>
      </c>
      <c r="I119" s="6">
        <f t="shared" si="12"/>
        <v>0</v>
      </c>
      <c r="J119" s="6">
        <f>ROUND(9.9055,2)</f>
        <v>9.91</v>
      </c>
      <c r="K119" s="5">
        <f t="shared" si="13"/>
        <v>0</v>
      </c>
      <c r="L119" s="7">
        <f t="shared" si="14"/>
        <v>0</v>
      </c>
    </row>
    <row r="120" spans="1:12">
      <c r="A120" s="3" t="s">
        <v>244</v>
      </c>
      <c r="B120" s="4" t="s">
        <v>245</v>
      </c>
      <c r="C120" s="4"/>
      <c r="D120" s="4"/>
      <c r="E120" s="4" t="s">
        <v>30</v>
      </c>
      <c r="F120" s="4" t="s">
        <v>26</v>
      </c>
      <c r="G120" s="4" t="s">
        <v>27</v>
      </c>
      <c r="H120" s="5">
        <f>ROUND(-5,0)</f>
        <v>-5</v>
      </c>
      <c r="I120" s="6">
        <f t="shared" si="12"/>
        <v>0</v>
      </c>
      <c r="J120" s="6">
        <f>ROUND(1.15901246,2)</f>
        <v>1.1599999999999999</v>
      </c>
      <c r="K120" s="5">
        <f t="shared" si="13"/>
        <v>0</v>
      </c>
      <c r="L120" s="7">
        <f t="shared" si="14"/>
        <v>0</v>
      </c>
    </row>
    <row r="121" spans="1:12">
      <c r="A121" s="3" t="s">
        <v>246</v>
      </c>
      <c r="B121" s="4" t="s">
        <v>247</v>
      </c>
      <c r="C121" s="4"/>
      <c r="D121" s="4"/>
      <c r="E121" s="4" t="s">
        <v>35</v>
      </c>
      <c r="F121" s="4" t="s">
        <v>21</v>
      </c>
      <c r="G121" s="4" t="s">
        <v>27</v>
      </c>
      <c r="H121" s="5">
        <f>ROUND(0,0)</f>
        <v>0</v>
      </c>
      <c r="I121" s="6">
        <f t="shared" si="12"/>
        <v>0</v>
      </c>
      <c r="J121" s="6">
        <f>ROUND(9.08595,2)</f>
        <v>9.09</v>
      </c>
      <c r="K121" s="5">
        <f t="shared" si="13"/>
        <v>0</v>
      </c>
      <c r="L121" s="7">
        <f t="shared" si="14"/>
        <v>0</v>
      </c>
    </row>
    <row r="122" spans="1:12">
      <c r="A122" s="3" t="s">
        <v>248</v>
      </c>
      <c r="B122" s="4" t="s">
        <v>249</v>
      </c>
      <c r="C122" s="4"/>
      <c r="D122" s="4"/>
      <c r="E122" s="4" t="s">
        <v>25</v>
      </c>
      <c r="F122" s="4" t="s">
        <v>250</v>
      </c>
      <c r="G122" s="4" t="s">
        <v>27</v>
      </c>
      <c r="H122" s="5">
        <f>ROUND(-1110,0)</f>
        <v>-1110</v>
      </c>
      <c r="I122" s="6">
        <f t="shared" si="12"/>
        <v>0</v>
      </c>
      <c r="J122" s="6">
        <f>ROUND(2.26631585,2)</f>
        <v>2.27</v>
      </c>
      <c r="K122" s="5">
        <f t="shared" si="13"/>
        <v>0</v>
      </c>
      <c r="L122" s="7">
        <f t="shared" si="14"/>
        <v>0</v>
      </c>
    </row>
    <row r="123" spans="1:12">
      <c r="A123" s="3" t="s">
        <v>251</v>
      </c>
      <c r="B123" s="4" t="s">
        <v>252</v>
      </c>
      <c r="C123" s="4"/>
      <c r="D123" s="4"/>
      <c r="E123" s="4" t="s">
        <v>25</v>
      </c>
      <c r="F123" s="4" t="s">
        <v>26</v>
      </c>
      <c r="G123" s="4" t="s">
        <v>27</v>
      </c>
      <c r="H123" s="5">
        <f>ROUND(0,0)</f>
        <v>0</v>
      </c>
      <c r="I123" s="6">
        <f t="shared" si="12"/>
        <v>0</v>
      </c>
      <c r="J123" s="6">
        <f>ROUND(1.15901246,2)</f>
        <v>1.1599999999999999</v>
      </c>
      <c r="K123" s="5">
        <f t="shared" si="13"/>
        <v>0</v>
      </c>
      <c r="L123" s="7">
        <f t="shared" si="14"/>
        <v>0</v>
      </c>
    </row>
    <row r="124" spans="1:12">
      <c r="A124" s="3" t="s">
        <v>253</v>
      </c>
      <c r="B124" s="4" t="s">
        <v>254</v>
      </c>
      <c r="C124" s="4"/>
      <c r="D124" s="4"/>
      <c r="E124" s="4" t="s">
        <v>25</v>
      </c>
      <c r="F124" s="4" t="s">
        <v>26</v>
      </c>
      <c r="G124" s="4" t="s">
        <v>27</v>
      </c>
      <c r="H124" s="5">
        <f>ROUND(-50400,0)</f>
        <v>-50400</v>
      </c>
      <c r="I124" s="6">
        <f t="shared" si="12"/>
        <v>0</v>
      </c>
      <c r="J124" s="6">
        <f>ROUND(1.15901246,2)</f>
        <v>1.1599999999999999</v>
      </c>
      <c r="K124" s="5">
        <f t="shared" si="13"/>
        <v>0</v>
      </c>
      <c r="L124" s="7">
        <f t="shared" si="14"/>
        <v>0</v>
      </c>
    </row>
    <row r="125" spans="1:12">
      <c r="A125" s="3" t="s">
        <v>255</v>
      </c>
      <c r="B125" s="4" t="s">
        <v>256</v>
      </c>
      <c r="C125" s="4"/>
      <c r="D125" s="4"/>
      <c r="E125" s="4" t="s">
        <v>30</v>
      </c>
      <c r="F125" s="4" t="s">
        <v>45</v>
      </c>
      <c r="G125" s="4" t="s">
        <v>27</v>
      </c>
      <c r="H125" s="5">
        <f>ROUND(0,0)</f>
        <v>0</v>
      </c>
      <c r="I125" s="6">
        <f t="shared" si="12"/>
        <v>0</v>
      </c>
      <c r="J125" s="6">
        <f>ROUND(8.407077,2)</f>
        <v>8.41</v>
      </c>
      <c r="K125" s="5">
        <f t="shared" si="13"/>
        <v>0</v>
      </c>
      <c r="L125" s="7">
        <f t="shared" si="14"/>
        <v>0</v>
      </c>
    </row>
    <row r="126" spans="1:12">
      <c r="A126" s="3" t="s">
        <v>257</v>
      </c>
      <c r="B126" s="4" t="s">
        <v>258</v>
      </c>
      <c r="C126" s="4"/>
      <c r="D126" s="4"/>
      <c r="E126" s="4" t="s">
        <v>30</v>
      </c>
      <c r="F126" s="4" t="s">
        <v>72</v>
      </c>
      <c r="G126" s="4" t="s">
        <v>27</v>
      </c>
      <c r="H126" s="5">
        <f>ROUND(0,0)</f>
        <v>0</v>
      </c>
      <c r="I126" s="6">
        <f t="shared" si="12"/>
        <v>0</v>
      </c>
      <c r="J126" s="6">
        <f>ROUND(6.12812423,2)</f>
        <v>6.13</v>
      </c>
      <c r="K126" s="5">
        <f t="shared" si="13"/>
        <v>0</v>
      </c>
      <c r="L126" s="7">
        <f t="shared" si="14"/>
        <v>0</v>
      </c>
    </row>
    <row r="127" spans="1:12">
      <c r="A127" s="3" t="s">
        <v>259</v>
      </c>
      <c r="B127" s="4" t="s">
        <v>260</v>
      </c>
      <c r="C127" s="4"/>
      <c r="D127" s="4"/>
      <c r="E127" s="4" t="s">
        <v>30</v>
      </c>
      <c r="F127" s="4" t="s">
        <v>26</v>
      </c>
      <c r="G127" s="4" t="s">
        <v>27</v>
      </c>
      <c r="H127" s="5">
        <f>ROUND(-12600,0)</f>
        <v>-12600</v>
      </c>
      <c r="I127" s="6">
        <f t="shared" si="12"/>
        <v>0</v>
      </c>
      <c r="J127" s="6">
        <f>ROUND(1.15901246,2)</f>
        <v>1.1599999999999999</v>
      </c>
      <c r="K127" s="5">
        <f t="shared" si="13"/>
        <v>0</v>
      </c>
      <c r="L127" s="7">
        <f t="shared" si="14"/>
        <v>0</v>
      </c>
    </row>
    <row r="128" spans="1:12">
      <c r="A128" s="3" t="s">
        <v>261</v>
      </c>
      <c r="B128" s="4" t="s">
        <v>262</v>
      </c>
      <c r="C128" s="4"/>
      <c r="D128" s="4"/>
      <c r="E128" s="4" t="s">
        <v>30</v>
      </c>
      <c r="F128" s="4" t="s">
        <v>18</v>
      </c>
      <c r="G128" s="4" t="s">
        <v>27</v>
      </c>
      <c r="H128" s="5">
        <f>ROUND(0,0)</f>
        <v>0</v>
      </c>
      <c r="I128" s="6">
        <f t="shared" si="12"/>
        <v>0</v>
      </c>
      <c r="J128" s="6">
        <f>ROUND(9.9055,2)</f>
        <v>9.91</v>
      </c>
      <c r="K128" s="5">
        <f t="shared" si="13"/>
        <v>0</v>
      </c>
      <c r="L128" s="7">
        <f t="shared" si="14"/>
        <v>0</v>
      </c>
    </row>
    <row r="129" spans="1:12">
      <c r="A129" s="3" t="s">
        <v>263</v>
      </c>
      <c r="B129" s="4" t="s">
        <v>264</v>
      </c>
      <c r="C129" s="4"/>
      <c r="D129" s="4"/>
      <c r="E129" s="4" t="s">
        <v>30</v>
      </c>
      <c r="F129" s="4" t="s">
        <v>16</v>
      </c>
      <c r="G129" s="4" t="s">
        <v>27</v>
      </c>
      <c r="H129" s="5">
        <f>ROUND(0,0)</f>
        <v>0</v>
      </c>
      <c r="I129" s="6">
        <f t="shared" si="12"/>
        <v>0</v>
      </c>
      <c r="J129" s="6">
        <f>ROUND(9.11185723,2)</f>
        <v>9.11</v>
      </c>
      <c r="K129" s="5">
        <f t="shared" si="13"/>
        <v>0</v>
      </c>
      <c r="L129" s="7">
        <f t="shared" si="14"/>
        <v>0</v>
      </c>
    </row>
    <row r="130" spans="1:12">
      <c r="A130" s="3" t="s">
        <v>265</v>
      </c>
      <c r="B130" s="4" t="s">
        <v>266</v>
      </c>
      <c r="C130" s="4"/>
      <c r="D130" s="4"/>
      <c r="E130" s="4" t="s">
        <v>30</v>
      </c>
      <c r="F130" s="4" t="s">
        <v>26</v>
      </c>
      <c r="G130" s="4" t="s">
        <v>27</v>
      </c>
      <c r="H130" s="5">
        <f>ROUND(0,0)</f>
        <v>0</v>
      </c>
      <c r="I130" s="6">
        <f t="shared" si="12"/>
        <v>0</v>
      </c>
      <c r="J130" s="6">
        <f>ROUND(1.15901246,2)</f>
        <v>1.1599999999999999</v>
      </c>
      <c r="K130" s="5">
        <f t="shared" si="13"/>
        <v>0</v>
      </c>
      <c r="L130" s="7">
        <f t="shared" si="14"/>
        <v>0</v>
      </c>
    </row>
    <row r="131" spans="1:12">
      <c r="A131" s="3" t="s">
        <v>267</v>
      </c>
      <c r="B131" s="4" t="s">
        <v>268</v>
      </c>
      <c r="C131" s="4"/>
      <c r="D131" s="4"/>
      <c r="E131" s="4" t="s">
        <v>30</v>
      </c>
      <c r="F131" s="4" t="s">
        <v>190</v>
      </c>
      <c r="G131" s="4" t="s">
        <v>27</v>
      </c>
      <c r="H131" s="5">
        <f>ROUND(0,0)</f>
        <v>0</v>
      </c>
      <c r="I131" s="6">
        <f t="shared" si="12"/>
        <v>0</v>
      </c>
      <c r="J131" s="6">
        <f>ROUND(6.86237833,2)</f>
        <v>6.86</v>
      </c>
      <c r="K131" s="5">
        <f t="shared" si="13"/>
        <v>0</v>
      </c>
      <c r="L131" s="7">
        <f t="shared" si="14"/>
        <v>0</v>
      </c>
    </row>
    <row r="132" spans="1:12">
      <c r="A132" s="3" t="s">
        <v>269</v>
      </c>
      <c r="B132" s="4" t="s">
        <v>270</v>
      </c>
      <c r="C132" s="4"/>
      <c r="D132" s="4"/>
      <c r="E132" s="4" t="s">
        <v>30</v>
      </c>
      <c r="F132" s="4" t="s">
        <v>26</v>
      </c>
      <c r="G132" s="4" t="s">
        <v>27</v>
      </c>
      <c r="H132" s="5">
        <f>ROUND(-8428,0)</f>
        <v>-8428</v>
      </c>
      <c r="I132" s="6">
        <f t="shared" si="12"/>
        <v>0</v>
      </c>
      <c r="J132" s="6">
        <f>ROUND(1.15901246,2)</f>
        <v>1.1599999999999999</v>
      </c>
      <c r="K132" s="5">
        <f t="shared" si="13"/>
        <v>0</v>
      </c>
      <c r="L132" s="7">
        <f t="shared" si="14"/>
        <v>0</v>
      </c>
    </row>
    <row r="133" spans="1:12">
      <c r="A133" s="3" t="s">
        <v>271</v>
      </c>
      <c r="B133" s="4" t="s">
        <v>272</v>
      </c>
      <c r="C133" s="4"/>
      <c r="D133" s="4"/>
      <c r="E133" s="4" t="s">
        <v>35</v>
      </c>
      <c r="F133" s="4" t="s">
        <v>21</v>
      </c>
      <c r="G133" s="4" t="s">
        <v>27</v>
      </c>
      <c r="H133" s="5">
        <f t="shared" ref="H133:H161" si="15">ROUND(0,0)</f>
        <v>0</v>
      </c>
      <c r="I133" s="6">
        <f t="shared" si="12"/>
        <v>0</v>
      </c>
      <c r="J133" s="6">
        <f>ROUND(9.08595,2)</f>
        <v>9.09</v>
      </c>
      <c r="K133" s="5">
        <f t="shared" si="13"/>
        <v>0</v>
      </c>
      <c r="L133" s="7">
        <f t="shared" si="14"/>
        <v>0</v>
      </c>
    </row>
    <row r="134" spans="1:12">
      <c r="A134" s="3" t="s">
        <v>273</v>
      </c>
      <c r="B134" s="4" t="s">
        <v>274</v>
      </c>
      <c r="C134" s="4"/>
      <c r="D134" s="4"/>
      <c r="E134" s="4" t="s">
        <v>30</v>
      </c>
      <c r="F134" s="4" t="s">
        <v>19</v>
      </c>
      <c r="G134" s="4" t="s">
        <v>27</v>
      </c>
      <c r="H134" s="5">
        <f t="shared" si="15"/>
        <v>0</v>
      </c>
      <c r="I134" s="6">
        <f t="shared" si="12"/>
        <v>0</v>
      </c>
      <c r="J134" s="6">
        <f>ROUND(1.3267035,2)</f>
        <v>1.33</v>
      </c>
      <c r="K134" s="5">
        <f t="shared" si="13"/>
        <v>0</v>
      </c>
      <c r="L134" s="7">
        <f t="shared" si="14"/>
        <v>0</v>
      </c>
    </row>
    <row r="135" spans="1:12">
      <c r="A135" s="3" t="s">
        <v>275</v>
      </c>
      <c r="B135" s="4" t="s">
        <v>276</v>
      </c>
      <c r="C135" s="4"/>
      <c r="D135" s="4"/>
      <c r="E135" s="4" t="s">
        <v>25</v>
      </c>
      <c r="F135" s="4" t="s">
        <v>16</v>
      </c>
      <c r="G135" s="4" t="s">
        <v>27</v>
      </c>
      <c r="H135" s="5">
        <f t="shared" si="15"/>
        <v>0</v>
      </c>
      <c r="I135" s="6">
        <f t="shared" si="12"/>
        <v>0</v>
      </c>
      <c r="J135" s="6">
        <f>ROUND(9.11185723,2)</f>
        <v>9.11</v>
      </c>
      <c r="K135" s="5">
        <f t="shared" si="13"/>
        <v>0</v>
      </c>
      <c r="L135" s="7">
        <f t="shared" si="14"/>
        <v>0</v>
      </c>
    </row>
    <row r="136" spans="1:12">
      <c r="A136" s="3" t="s">
        <v>277</v>
      </c>
      <c r="B136" s="4" t="s">
        <v>278</v>
      </c>
      <c r="C136" s="4"/>
      <c r="D136" s="4"/>
      <c r="E136" s="4" t="s">
        <v>25</v>
      </c>
      <c r="F136" s="4" t="s">
        <v>279</v>
      </c>
      <c r="G136" s="4" t="s">
        <v>27</v>
      </c>
      <c r="H136" s="5">
        <f t="shared" si="15"/>
        <v>0</v>
      </c>
      <c r="I136" s="6">
        <f t="shared" si="12"/>
        <v>0</v>
      </c>
      <c r="J136" s="6">
        <f>ROUND(1,2)</f>
        <v>1</v>
      </c>
      <c r="K136" s="5">
        <f t="shared" si="13"/>
        <v>0</v>
      </c>
      <c r="L136" s="7">
        <f t="shared" si="14"/>
        <v>0</v>
      </c>
    </row>
    <row r="137" spans="1:12">
      <c r="A137" s="3" t="s">
        <v>280</v>
      </c>
      <c r="B137" s="4" t="s">
        <v>281</v>
      </c>
      <c r="C137" s="4"/>
      <c r="D137" s="4"/>
      <c r="E137" s="4" t="s">
        <v>30</v>
      </c>
      <c r="F137" s="4" t="s">
        <v>18</v>
      </c>
      <c r="G137" s="4" t="s">
        <v>27</v>
      </c>
      <c r="H137" s="5">
        <f t="shared" si="15"/>
        <v>0</v>
      </c>
      <c r="I137" s="6">
        <f t="shared" si="12"/>
        <v>0</v>
      </c>
      <c r="J137" s="6">
        <f>ROUND(9.9055,2)</f>
        <v>9.91</v>
      </c>
      <c r="K137" s="5">
        <f t="shared" si="13"/>
        <v>0</v>
      </c>
      <c r="L137" s="7">
        <f t="shared" si="14"/>
        <v>0</v>
      </c>
    </row>
    <row r="138" spans="1:12">
      <c r="A138" s="3" t="s">
        <v>282</v>
      </c>
      <c r="B138" s="4" t="s">
        <v>283</v>
      </c>
      <c r="C138" s="4"/>
      <c r="D138" s="4"/>
      <c r="E138" s="4" t="s">
        <v>30</v>
      </c>
      <c r="F138" s="4" t="s">
        <v>19</v>
      </c>
      <c r="G138" s="4" t="s">
        <v>27</v>
      </c>
      <c r="H138" s="5">
        <f t="shared" si="15"/>
        <v>0</v>
      </c>
      <c r="I138" s="6">
        <f t="shared" si="12"/>
        <v>0</v>
      </c>
      <c r="J138" s="6">
        <f>ROUND(1.3267035,2)</f>
        <v>1.33</v>
      </c>
      <c r="K138" s="5">
        <f t="shared" si="13"/>
        <v>0</v>
      </c>
      <c r="L138" s="7">
        <f t="shared" si="14"/>
        <v>0</v>
      </c>
    </row>
    <row r="139" spans="1:12">
      <c r="A139" s="3" t="s">
        <v>284</v>
      </c>
      <c r="B139" s="4" t="s">
        <v>285</v>
      </c>
      <c r="C139" s="4"/>
      <c r="D139" s="4"/>
      <c r="E139" s="4" t="s">
        <v>35</v>
      </c>
      <c r="F139" s="4" t="s">
        <v>21</v>
      </c>
      <c r="G139" s="4" t="s">
        <v>27</v>
      </c>
      <c r="H139" s="5">
        <f t="shared" si="15"/>
        <v>0</v>
      </c>
      <c r="I139" s="6">
        <f t="shared" ref="I139:I170" si="16">ROUND(0,2)</f>
        <v>0</v>
      </c>
      <c r="J139" s="6">
        <f>ROUND(9.08595,2)</f>
        <v>9.09</v>
      </c>
      <c r="K139" s="5">
        <f t="shared" ref="K139:K170" si="17">ROUND(0,0)</f>
        <v>0</v>
      </c>
      <c r="L139" s="7">
        <f t="shared" ref="L139:L170" si="18">ROUND(0,4)</f>
        <v>0</v>
      </c>
    </row>
    <row r="140" spans="1:12">
      <c r="A140" s="3" t="s">
        <v>286</v>
      </c>
      <c r="B140" s="4" t="s">
        <v>287</v>
      </c>
      <c r="C140" s="4"/>
      <c r="D140" s="4"/>
      <c r="E140" s="4" t="s">
        <v>35</v>
      </c>
      <c r="F140" s="4" t="s">
        <v>21</v>
      </c>
      <c r="G140" s="4" t="s">
        <v>27</v>
      </c>
      <c r="H140" s="5">
        <f t="shared" si="15"/>
        <v>0</v>
      </c>
      <c r="I140" s="6">
        <f t="shared" si="16"/>
        <v>0</v>
      </c>
      <c r="J140" s="6">
        <f>ROUND(9.08595,2)</f>
        <v>9.09</v>
      </c>
      <c r="K140" s="5">
        <f t="shared" si="17"/>
        <v>0</v>
      </c>
      <c r="L140" s="7">
        <f t="shared" si="18"/>
        <v>0</v>
      </c>
    </row>
    <row r="141" spans="1:12">
      <c r="A141" s="3" t="s">
        <v>288</v>
      </c>
      <c r="B141" s="4" t="s">
        <v>289</v>
      </c>
      <c r="C141" s="4"/>
      <c r="D141" s="4"/>
      <c r="E141" s="4" t="s">
        <v>35</v>
      </c>
      <c r="F141" s="4" t="s">
        <v>21</v>
      </c>
      <c r="G141" s="4" t="s">
        <v>27</v>
      </c>
      <c r="H141" s="5">
        <f t="shared" si="15"/>
        <v>0</v>
      </c>
      <c r="I141" s="6">
        <f t="shared" si="16"/>
        <v>0</v>
      </c>
      <c r="J141" s="6">
        <f>ROUND(9.08595,2)</f>
        <v>9.09</v>
      </c>
      <c r="K141" s="5">
        <f t="shared" si="17"/>
        <v>0</v>
      </c>
      <c r="L141" s="7">
        <f t="shared" si="18"/>
        <v>0</v>
      </c>
    </row>
    <row r="142" spans="1:12">
      <c r="A142" s="3" t="s">
        <v>290</v>
      </c>
      <c r="B142" s="4" t="s">
        <v>291</v>
      </c>
      <c r="C142" s="4"/>
      <c r="D142" s="4"/>
      <c r="E142" s="4" t="s">
        <v>30</v>
      </c>
      <c r="F142" s="4" t="s">
        <v>26</v>
      </c>
      <c r="G142" s="4" t="s">
        <v>27</v>
      </c>
      <c r="H142" s="5">
        <f t="shared" si="15"/>
        <v>0</v>
      </c>
      <c r="I142" s="6">
        <f t="shared" si="16"/>
        <v>0</v>
      </c>
      <c r="J142" s="6">
        <f>ROUND(1.15901246,2)</f>
        <v>1.1599999999999999</v>
      </c>
      <c r="K142" s="5">
        <f t="shared" si="17"/>
        <v>0</v>
      </c>
      <c r="L142" s="7">
        <f t="shared" si="18"/>
        <v>0</v>
      </c>
    </row>
    <row r="143" spans="1:12">
      <c r="A143" s="3" t="s">
        <v>292</v>
      </c>
      <c r="B143" s="4" t="s">
        <v>293</v>
      </c>
      <c r="C143" s="4"/>
      <c r="D143" s="4"/>
      <c r="E143" s="4" t="s">
        <v>25</v>
      </c>
      <c r="F143" s="4" t="s">
        <v>18</v>
      </c>
      <c r="G143" s="4" t="s">
        <v>27</v>
      </c>
      <c r="H143" s="5">
        <f t="shared" si="15"/>
        <v>0</v>
      </c>
      <c r="I143" s="6">
        <f t="shared" si="16"/>
        <v>0</v>
      </c>
      <c r="J143" s="6">
        <f>ROUND(9.9055,2)</f>
        <v>9.91</v>
      </c>
      <c r="K143" s="5">
        <f t="shared" si="17"/>
        <v>0</v>
      </c>
      <c r="L143" s="7">
        <f t="shared" si="18"/>
        <v>0</v>
      </c>
    </row>
    <row r="144" spans="1:12">
      <c r="A144" s="3" t="s">
        <v>294</v>
      </c>
      <c r="B144" s="4" t="s">
        <v>295</v>
      </c>
      <c r="C144" s="4"/>
      <c r="D144" s="4"/>
      <c r="E144" s="4" t="s">
        <v>35</v>
      </c>
      <c r="F144" s="4" t="s">
        <v>21</v>
      </c>
      <c r="G144" s="4" t="s">
        <v>27</v>
      </c>
      <c r="H144" s="5">
        <f t="shared" si="15"/>
        <v>0</v>
      </c>
      <c r="I144" s="6">
        <f t="shared" si="16"/>
        <v>0</v>
      </c>
      <c r="J144" s="6">
        <f>ROUND(9.08595,2)</f>
        <v>9.09</v>
      </c>
      <c r="K144" s="5">
        <f t="shared" si="17"/>
        <v>0</v>
      </c>
      <c r="L144" s="7">
        <f t="shared" si="18"/>
        <v>0</v>
      </c>
    </row>
    <row r="145" spans="1:12">
      <c r="A145" s="3" t="s">
        <v>296</v>
      </c>
      <c r="B145" s="4" t="s">
        <v>297</v>
      </c>
      <c r="C145" s="4"/>
      <c r="D145" s="4"/>
      <c r="E145" s="4" t="s">
        <v>30</v>
      </c>
      <c r="F145" s="4" t="s">
        <v>72</v>
      </c>
      <c r="G145" s="4" t="s">
        <v>27</v>
      </c>
      <c r="H145" s="5">
        <f t="shared" si="15"/>
        <v>0</v>
      </c>
      <c r="I145" s="6">
        <f t="shared" si="16"/>
        <v>0</v>
      </c>
      <c r="J145" s="6">
        <f>ROUND(6.12812423,2)</f>
        <v>6.13</v>
      </c>
      <c r="K145" s="5">
        <f t="shared" si="17"/>
        <v>0</v>
      </c>
      <c r="L145" s="7">
        <f t="shared" si="18"/>
        <v>0</v>
      </c>
    </row>
    <row r="146" spans="1:12">
      <c r="A146" s="3" t="s">
        <v>294</v>
      </c>
      <c r="B146" s="4" t="s">
        <v>298</v>
      </c>
      <c r="C146" s="4"/>
      <c r="D146" s="4"/>
      <c r="E146" s="4" t="s">
        <v>35</v>
      </c>
      <c r="F146" s="4" t="s">
        <v>21</v>
      </c>
      <c r="G146" s="4" t="s">
        <v>27</v>
      </c>
      <c r="H146" s="5">
        <f t="shared" si="15"/>
        <v>0</v>
      </c>
      <c r="I146" s="6">
        <f t="shared" si="16"/>
        <v>0</v>
      </c>
      <c r="J146" s="6">
        <f>ROUND(9.08595,2)</f>
        <v>9.09</v>
      </c>
      <c r="K146" s="5">
        <f t="shared" si="17"/>
        <v>0</v>
      </c>
      <c r="L146" s="7">
        <f t="shared" si="18"/>
        <v>0</v>
      </c>
    </row>
    <row r="147" spans="1:12">
      <c r="A147" s="3" t="s">
        <v>299</v>
      </c>
      <c r="B147" s="4" t="s">
        <v>300</v>
      </c>
      <c r="C147" s="4"/>
      <c r="D147" s="4"/>
      <c r="E147" s="4" t="s">
        <v>30</v>
      </c>
      <c r="F147" s="4" t="s">
        <v>26</v>
      </c>
      <c r="G147" s="4" t="s">
        <v>27</v>
      </c>
      <c r="H147" s="5">
        <f t="shared" si="15"/>
        <v>0</v>
      </c>
      <c r="I147" s="6">
        <f t="shared" si="16"/>
        <v>0</v>
      </c>
      <c r="J147" s="6">
        <f>ROUND(1.15901246,2)</f>
        <v>1.1599999999999999</v>
      </c>
      <c r="K147" s="5">
        <f t="shared" si="17"/>
        <v>0</v>
      </c>
      <c r="L147" s="7">
        <f t="shared" si="18"/>
        <v>0</v>
      </c>
    </row>
    <row r="148" spans="1:12">
      <c r="A148" s="3" t="s">
        <v>301</v>
      </c>
      <c r="B148" s="4" t="s">
        <v>302</v>
      </c>
      <c r="C148" s="4"/>
      <c r="D148" s="4"/>
      <c r="E148" s="4" t="s">
        <v>25</v>
      </c>
      <c r="F148" s="4" t="s">
        <v>26</v>
      </c>
      <c r="G148" s="4" t="s">
        <v>27</v>
      </c>
      <c r="H148" s="5">
        <f t="shared" si="15"/>
        <v>0</v>
      </c>
      <c r="I148" s="6">
        <f t="shared" si="16"/>
        <v>0</v>
      </c>
      <c r="J148" s="6">
        <f>ROUND(1.15901246,2)</f>
        <v>1.1599999999999999</v>
      </c>
      <c r="K148" s="5">
        <f t="shared" si="17"/>
        <v>0</v>
      </c>
      <c r="L148" s="7">
        <f t="shared" si="18"/>
        <v>0</v>
      </c>
    </row>
    <row r="149" spans="1:12">
      <c r="A149" s="3" t="s">
        <v>303</v>
      </c>
      <c r="B149" s="4" t="s">
        <v>304</v>
      </c>
      <c r="C149" s="4"/>
      <c r="D149" s="4"/>
      <c r="E149" s="4" t="s">
        <v>35</v>
      </c>
      <c r="F149" s="4" t="s">
        <v>21</v>
      </c>
      <c r="G149" s="4" t="s">
        <v>27</v>
      </c>
      <c r="H149" s="5">
        <f t="shared" si="15"/>
        <v>0</v>
      </c>
      <c r="I149" s="6">
        <f t="shared" si="16"/>
        <v>0</v>
      </c>
      <c r="J149" s="6">
        <f>ROUND(9.08595,2)</f>
        <v>9.09</v>
      </c>
      <c r="K149" s="5">
        <f t="shared" si="17"/>
        <v>0</v>
      </c>
      <c r="L149" s="7">
        <f t="shared" si="18"/>
        <v>0</v>
      </c>
    </row>
    <row r="150" spans="1:12">
      <c r="A150" s="3" t="s">
        <v>305</v>
      </c>
      <c r="B150" s="4" t="s">
        <v>306</v>
      </c>
      <c r="C150" s="4"/>
      <c r="D150" s="4"/>
      <c r="E150" s="4" t="s">
        <v>30</v>
      </c>
      <c r="F150" s="4" t="s">
        <v>95</v>
      </c>
      <c r="G150" s="4" t="s">
        <v>27</v>
      </c>
      <c r="H150" s="5">
        <f t="shared" si="15"/>
        <v>0</v>
      </c>
      <c r="I150" s="6">
        <f t="shared" si="16"/>
        <v>0</v>
      </c>
      <c r="J150" s="6">
        <f>ROUND(0.4601869,2)</f>
        <v>0.46</v>
      </c>
      <c r="K150" s="5">
        <f t="shared" si="17"/>
        <v>0</v>
      </c>
      <c r="L150" s="7">
        <f t="shared" si="18"/>
        <v>0</v>
      </c>
    </row>
    <row r="151" spans="1:12">
      <c r="A151" s="3" t="s">
        <v>307</v>
      </c>
      <c r="B151" s="4" t="s">
        <v>308</v>
      </c>
      <c r="C151" s="4"/>
      <c r="D151" s="4"/>
      <c r="E151" s="4" t="s">
        <v>35</v>
      </c>
      <c r="F151" s="4" t="s">
        <v>21</v>
      </c>
      <c r="G151" s="4" t="s">
        <v>27</v>
      </c>
      <c r="H151" s="5">
        <f t="shared" si="15"/>
        <v>0</v>
      </c>
      <c r="I151" s="6">
        <f t="shared" si="16"/>
        <v>0</v>
      </c>
      <c r="J151" s="6">
        <f>ROUND(9.08595,2)</f>
        <v>9.09</v>
      </c>
      <c r="K151" s="5">
        <f t="shared" si="17"/>
        <v>0</v>
      </c>
      <c r="L151" s="7">
        <f t="shared" si="18"/>
        <v>0</v>
      </c>
    </row>
    <row r="152" spans="1:12">
      <c r="A152" s="3" t="s">
        <v>309</v>
      </c>
      <c r="B152" s="4" t="s">
        <v>310</v>
      </c>
      <c r="C152" s="4"/>
      <c r="D152" s="4"/>
      <c r="E152" s="4" t="s">
        <v>35</v>
      </c>
      <c r="F152" s="4" t="s">
        <v>21</v>
      </c>
      <c r="G152" s="4" t="s">
        <v>27</v>
      </c>
      <c r="H152" s="5">
        <f t="shared" si="15"/>
        <v>0</v>
      </c>
      <c r="I152" s="6">
        <f t="shared" si="16"/>
        <v>0</v>
      </c>
      <c r="J152" s="6">
        <f>ROUND(9.08595,2)</f>
        <v>9.09</v>
      </c>
      <c r="K152" s="5">
        <f t="shared" si="17"/>
        <v>0</v>
      </c>
      <c r="L152" s="7">
        <f t="shared" si="18"/>
        <v>0</v>
      </c>
    </row>
    <row r="153" spans="1:12">
      <c r="A153" s="3" t="s">
        <v>311</v>
      </c>
      <c r="B153" s="4" t="s">
        <v>312</v>
      </c>
      <c r="C153" s="4"/>
      <c r="D153" s="4"/>
      <c r="E153" s="4" t="s">
        <v>30</v>
      </c>
      <c r="F153" s="4" t="s">
        <v>26</v>
      </c>
      <c r="G153" s="4" t="s">
        <v>27</v>
      </c>
      <c r="H153" s="5">
        <f t="shared" si="15"/>
        <v>0</v>
      </c>
      <c r="I153" s="6">
        <f t="shared" si="16"/>
        <v>0</v>
      </c>
      <c r="J153" s="6">
        <f>ROUND(1.15901246,2)</f>
        <v>1.1599999999999999</v>
      </c>
      <c r="K153" s="5">
        <f t="shared" si="17"/>
        <v>0</v>
      </c>
      <c r="L153" s="7">
        <f t="shared" si="18"/>
        <v>0</v>
      </c>
    </row>
    <row r="154" spans="1:12">
      <c r="A154" s="3" t="s">
        <v>313</v>
      </c>
      <c r="B154" s="4" t="s">
        <v>314</v>
      </c>
      <c r="C154" s="4"/>
      <c r="D154" s="4"/>
      <c r="E154" s="4" t="s">
        <v>30</v>
      </c>
      <c r="F154" s="4" t="s">
        <v>26</v>
      </c>
      <c r="G154" s="4" t="s">
        <v>27</v>
      </c>
      <c r="H154" s="5">
        <f t="shared" si="15"/>
        <v>0</v>
      </c>
      <c r="I154" s="6">
        <f t="shared" si="16"/>
        <v>0</v>
      </c>
      <c r="J154" s="6">
        <f>ROUND(1.15901246,2)</f>
        <v>1.1599999999999999</v>
      </c>
      <c r="K154" s="5">
        <f t="shared" si="17"/>
        <v>0</v>
      </c>
      <c r="L154" s="7">
        <f t="shared" si="18"/>
        <v>0</v>
      </c>
    </row>
    <row r="155" spans="1:12">
      <c r="A155" s="3" t="s">
        <v>315</v>
      </c>
      <c r="B155" s="4" t="s">
        <v>316</v>
      </c>
      <c r="C155" s="4"/>
      <c r="D155" s="4"/>
      <c r="E155" s="4" t="s">
        <v>30</v>
      </c>
      <c r="F155" s="4" t="s">
        <v>18</v>
      </c>
      <c r="G155" s="4" t="s">
        <v>27</v>
      </c>
      <c r="H155" s="5">
        <f t="shared" si="15"/>
        <v>0</v>
      </c>
      <c r="I155" s="6">
        <f t="shared" si="16"/>
        <v>0</v>
      </c>
      <c r="J155" s="6">
        <f>ROUND(9.9055,2)</f>
        <v>9.91</v>
      </c>
      <c r="K155" s="5">
        <f t="shared" si="17"/>
        <v>0</v>
      </c>
      <c r="L155" s="7">
        <f t="shared" si="18"/>
        <v>0</v>
      </c>
    </row>
    <row r="156" spans="1:12">
      <c r="A156" s="3" t="s">
        <v>317</v>
      </c>
      <c r="B156" s="4" t="s">
        <v>318</v>
      </c>
      <c r="C156" s="4"/>
      <c r="D156" s="4"/>
      <c r="E156" s="4" t="s">
        <v>25</v>
      </c>
      <c r="F156" s="4" t="s">
        <v>45</v>
      </c>
      <c r="G156" s="4" t="s">
        <v>27</v>
      </c>
      <c r="H156" s="5">
        <f t="shared" si="15"/>
        <v>0</v>
      </c>
      <c r="I156" s="6">
        <f t="shared" si="16"/>
        <v>0</v>
      </c>
      <c r="J156" s="6">
        <f>ROUND(8.407077,2)</f>
        <v>8.41</v>
      </c>
      <c r="K156" s="5">
        <f t="shared" si="17"/>
        <v>0</v>
      </c>
      <c r="L156" s="7">
        <f t="shared" si="18"/>
        <v>0</v>
      </c>
    </row>
    <row r="157" spans="1:12">
      <c r="A157" s="3" t="s">
        <v>319</v>
      </c>
      <c r="B157" s="4" t="s">
        <v>320</v>
      </c>
      <c r="C157" s="4"/>
      <c r="D157" s="4"/>
      <c r="E157" s="4" t="s">
        <v>30</v>
      </c>
      <c r="F157" s="4" t="s">
        <v>18</v>
      </c>
      <c r="G157" s="4" t="s">
        <v>27</v>
      </c>
      <c r="H157" s="5">
        <f t="shared" si="15"/>
        <v>0</v>
      </c>
      <c r="I157" s="6">
        <f t="shared" si="16"/>
        <v>0</v>
      </c>
      <c r="J157" s="6">
        <f>ROUND(9.9055,2)</f>
        <v>9.91</v>
      </c>
      <c r="K157" s="5">
        <f t="shared" si="17"/>
        <v>0</v>
      </c>
      <c r="L157" s="7">
        <f t="shared" si="18"/>
        <v>0</v>
      </c>
    </row>
    <row r="158" spans="1:12">
      <c r="A158" s="3" t="s">
        <v>321</v>
      </c>
      <c r="B158" s="4" t="s">
        <v>322</v>
      </c>
      <c r="C158" s="4"/>
      <c r="D158" s="4"/>
      <c r="E158" s="4" t="s">
        <v>30</v>
      </c>
      <c r="F158" s="4" t="s">
        <v>19</v>
      </c>
      <c r="G158" s="4" t="s">
        <v>27</v>
      </c>
      <c r="H158" s="5">
        <f t="shared" si="15"/>
        <v>0</v>
      </c>
      <c r="I158" s="6">
        <f t="shared" si="16"/>
        <v>0</v>
      </c>
      <c r="J158" s="6">
        <f>ROUND(1.3267035,2)</f>
        <v>1.33</v>
      </c>
      <c r="K158" s="5">
        <f t="shared" si="17"/>
        <v>0</v>
      </c>
      <c r="L158" s="7">
        <f t="shared" si="18"/>
        <v>0</v>
      </c>
    </row>
    <row r="159" spans="1:12">
      <c r="A159" s="3" t="s">
        <v>323</v>
      </c>
      <c r="B159" s="4" t="s">
        <v>324</v>
      </c>
      <c r="C159" s="4"/>
      <c r="D159" s="4"/>
      <c r="E159" s="4" t="s">
        <v>25</v>
      </c>
      <c r="F159" s="4" t="s">
        <v>26</v>
      </c>
      <c r="G159" s="4" t="s">
        <v>27</v>
      </c>
      <c r="H159" s="5">
        <f t="shared" si="15"/>
        <v>0</v>
      </c>
      <c r="I159" s="6">
        <f t="shared" si="16"/>
        <v>0</v>
      </c>
      <c r="J159" s="6">
        <f>ROUND(1.15901246,2)</f>
        <v>1.1599999999999999</v>
      </c>
      <c r="K159" s="5">
        <f t="shared" si="17"/>
        <v>0</v>
      </c>
      <c r="L159" s="7">
        <f t="shared" si="18"/>
        <v>0</v>
      </c>
    </row>
    <row r="160" spans="1:12">
      <c r="A160" s="3" t="s">
        <v>325</v>
      </c>
      <c r="B160" s="4" t="s">
        <v>326</v>
      </c>
      <c r="C160" s="4"/>
      <c r="D160" s="4"/>
      <c r="E160" s="4" t="s">
        <v>25</v>
      </c>
      <c r="F160" s="4" t="s">
        <v>250</v>
      </c>
      <c r="G160" s="4" t="s">
        <v>27</v>
      </c>
      <c r="H160" s="5">
        <f t="shared" si="15"/>
        <v>0</v>
      </c>
      <c r="I160" s="6">
        <f t="shared" si="16"/>
        <v>0</v>
      </c>
      <c r="J160" s="6">
        <f>ROUND(2.26631585,2)</f>
        <v>2.27</v>
      </c>
      <c r="K160" s="5">
        <f t="shared" si="17"/>
        <v>0</v>
      </c>
      <c r="L160" s="7">
        <f t="shared" si="18"/>
        <v>0</v>
      </c>
    </row>
    <row r="161" spans="1:12">
      <c r="A161" s="3" t="s">
        <v>327</v>
      </c>
      <c r="B161" s="4" t="s">
        <v>328</v>
      </c>
      <c r="C161" s="4"/>
      <c r="D161" s="4"/>
      <c r="E161" s="4" t="s">
        <v>25</v>
      </c>
      <c r="F161" s="4" t="s">
        <v>18</v>
      </c>
      <c r="G161" s="4" t="s">
        <v>27</v>
      </c>
      <c r="H161" s="5">
        <f t="shared" si="15"/>
        <v>0</v>
      </c>
      <c r="I161" s="6">
        <f t="shared" si="16"/>
        <v>0</v>
      </c>
      <c r="J161" s="6">
        <f>ROUND(9.9055,2)</f>
        <v>9.91</v>
      </c>
      <c r="K161" s="5">
        <f t="shared" si="17"/>
        <v>0</v>
      </c>
      <c r="L161" s="7">
        <f t="shared" si="18"/>
        <v>0</v>
      </c>
    </row>
    <row r="162" spans="1:12">
      <c r="A162" s="3" t="s">
        <v>149</v>
      </c>
      <c r="B162" s="4" t="s">
        <v>329</v>
      </c>
      <c r="C162" s="4"/>
      <c r="D162" s="4"/>
      <c r="E162" s="4" t="s">
        <v>25</v>
      </c>
      <c r="F162" s="4" t="s">
        <v>26</v>
      </c>
      <c r="G162" s="4" t="s">
        <v>27</v>
      </c>
      <c r="H162" s="5">
        <f>ROUND(-27499,0)</f>
        <v>-27499</v>
      </c>
      <c r="I162" s="6">
        <f t="shared" si="16"/>
        <v>0</v>
      </c>
      <c r="J162" s="6">
        <f>ROUND(1.15901246,2)</f>
        <v>1.1599999999999999</v>
      </c>
      <c r="K162" s="5">
        <f t="shared" si="17"/>
        <v>0</v>
      </c>
      <c r="L162" s="7">
        <f t="shared" si="18"/>
        <v>0</v>
      </c>
    </row>
    <row r="163" spans="1:12">
      <c r="A163" s="3" t="s">
        <v>149</v>
      </c>
      <c r="B163" s="4" t="s">
        <v>330</v>
      </c>
      <c r="C163" s="4"/>
      <c r="D163" s="4"/>
      <c r="E163" s="4" t="s">
        <v>25</v>
      </c>
      <c r="F163" s="4" t="s">
        <v>26</v>
      </c>
      <c r="G163" s="4" t="s">
        <v>27</v>
      </c>
      <c r="H163" s="5">
        <f>ROUND(-37502,0)</f>
        <v>-37502</v>
      </c>
      <c r="I163" s="6">
        <f t="shared" si="16"/>
        <v>0</v>
      </c>
      <c r="J163" s="6">
        <f>ROUND(1.15901246,2)</f>
        <v>1.1599999999999999</v>
      </c>
      <c r="K163" s="5">
        <f t="shared" si="17"/>
        <v>0</v>
      </c>
      <c r="L163" s="7">
        <f t="shared" si="18"/>
        <v>0</v>
      </c>
    </row>
    <row r="164" spans="1:12">
      <c r="A164" s="3" t="s">
        <v>149</v>
      </c>
      <c r="B164" s="4" t="s">
        <v>331</v>
      </c>
      <c r="C164" s="4"/>
      <c r="D164" s="4"/>
      <c r="E164" s="4" t="s">
        <v>25</v>
      </c>
      <c r="F164" s="4" t="s">
        <v>26</v>
      </c>
      <c r="G164" s="4" t="s">
        <v>27</v>
      </c>
      <c r="H164" s="5">
        <f>ROUND(-75000,0)</f>
        <v>-75000</v>
      </c>
      <c r="I164" s="6">
        <f t="shared" si="16"/>
        <v>0</v>
      </c>
      <c r="J164" s="6">
        <f>ROUND(1.15901246,2)</f>
        <v>1.1599999999999999</v>
      </c>
      <c r="K164" s="5">
        <f t="shared" si="17"/>
        <v>0</v>
      </c>
      <c r="L164" s="7">
        <f t="shared" si="18"/>
        <v>0</v>
      </c>
    </row>
    <row r="165" spans="1:12">
      <c r="A165" s="3" t="s">
        <v>151</v>
      </c>
      <c r="B165" s="4" t="s">
        <v>332</v>
      </c>
      <c r="C165" s="4"/>
      <c r="D165" s="4"/>
      <c r="E165" s="4" t="s">
        <v>25</v>
      </c>
      <c r="F165" s="4" t="s">
        <v>72</v>
      </c>
      <c r="G165" s="4" t="s">
        <v>27</v>
      </c>
      <c r="H165" s="5">
        <f>ROUND(-816,0)</f>
        <v>-816</v>
      </c>
      <c r="I165" s="6">
        <f t="shared" si="16"/>
        <v>0</v>
      </c>
      <c r="J165" s="6">
        <f>ROUND(6.12812423,2)</f>
        <v>6.13</v>
      </c>
      <c r="K165" s="5">
        <f t="shared" si="17"/>
        <v>0</v>
      </c>
      <c r="L165" s="7">
        <f t="shared" si="18"/>
        <v>0</v>
      </c>
    </row>
    <row r="166" spans="1:12">
      <c r="A166" s="3" t="s">
        <v>333</v>
      </c>
      <c r="B166" s="4" t="s">
        <v>334</v>
      </c>
      <c r="C166" s="4"/>
      <c r="D166" s="4"/>
      <c r="E166" s="4" t="s">
        <v>30</v>
      </c>
      <c r="F166" s="4" t="s">
        <v>20</v>
      </c>
      <c r="G166" s="4" t="s">
        <v>27</v>
      </c>
      <c r="H166" s="5">
        <f>ROUND(0,0)</f>
        <v>0</v>
      </c>
      <c r="I166" s="6">
        <f t="shared" si="16"/>
        <v>0</v>
      </c>
      <c r="J166" s="6">
        <f>ROUND(11.19645077,2)</f>
        <v>11.2</v>
      </c>
      <c r="K166" s="5">
        <f t="shared" si="17"/>
        <v>0</v>
      </c>
      <c r="L166" s="7">
        <f t="shared" si="18"/>
        <v>0</v>
      </c>
    </row>
    <row r="167" spans="1:12">
      <c r="A167" s="3" t="s">
        <v>335</v>
      </c>
      <c r="B167" s="4" t="s">
        <v>336</v>
      </c>
      <c r="C167" s="4"/>
      <c r="D167" s="4"/>
      <c r="E167" s="4" t="s">
        <v>30</v>
      </c>
      <c r="F167" s="4" t="s">
        <v>26</v>
      </c>
      <c r="G167" s="4" t="s">
        <v>27</v>
      </c>
      <c r="H167" s="5">
        <f>ROUND(0,0)</f>
        <v>0</v>
      </c>
      <c r="I167" s="6">
        <f t="shared" si="16"/>
        <v>0</v>
      </c>
      <c r="J167" s="6">
        <f>ROUND(1.15901246,2)</f>
        <v>1.1599999999999999</v>
      </c>
      <c r="K167" s="5">
        <f t="shared" si="17"/>
        <v>0</v>
      </c>
      <c r="L167" s="7">
        <f t="shared" si="18"/>
        <v>0</v>
      </c>
    </row>
    <row r="168" spans="1:12">
      <c r="A168" s="3" t="s">
        <v>337</v>
      </c>
      <c r="B168" s="4" t="s">
        <v>338</v>
      </c>
      <c r="C168" s="4"/>
      <c r="D168" s="4"/>
      <c r="E168" s="4" t="s">
        <v>30</v>
      </c>
      <c r="F168" s="4" t="s">
        <v>18</v>
      </c>
      <c r="G168" s="4" t="s">
        <v>27</v>
      </c>
      <c r="H168" s="5">
        <f>ROUND(0,0)</f>
        <v>0</v>
      </c>
      <c r="I168" s="6">
        <f t="shared" si="16"/>
        <v>0</v>
      </c>
      <c r="J168" s="6">
        <f>ROUND(9.9055,2)</f>
        <v>9.91</v>
      </c>
      <c r="K168" s="5">
        <f t="shared" si="17"/>
        <v>0</v>
      </c>
      <c r="L168" s="7">
        <f t="shared" si="18"/>
        <v>0</v>
      </c>
    </row>
    <row r="169" spans="1:12">
      <c r="A169" s="3" t="s">
        <v>339</v>
      </c>
      <c r="B169" s="4" t="s">
        <v>340</v>
      </c>
      <c r="C169" s="4"/>
      <c r="D169" s="4"/>
      <c r="E169" s="4" t="s">
        <v>25</v>
      </c>
      <c r="F169" s="4" t="s">
        <v>26</v>
      </c>
      <c r="G169" s="4" t="s">
        <v>27</v>
      </c>
      <c r="H169" s="5">
        <f>ROUND(-13901,0)</f>
        <v>-13901</v>
      </c>
      <c r="I169" s="6">
        <f t="shared" si="16"/>
        <v>0</v>
      </c>
      <c r="J169" s="6">
        <f>ROUND(1.15901246,2)</f>
        <v>1.1599999999999999</v>
      </c>
      <c r="K169" s="5">
        <f t="shared" si="17"/>
        <v>0</v>
      </c>
      <c r="L169" s="7">
        <f t="shared" si="18"/>
        <v>0</v>
      </c>
    </row>
    <row r="170" spans="1:12">
      <c r="A170" s="3" t="s">
        <v>339</v>
      </c>
      <c r="B170" s="4" t="s">
        <v>341</v>
      </c>
      <c r="C170" s="4"/>
      <c r="D170" s="4"/>
      <c r="E170" s="4" t="s">
        <v>25</v>
      </c>
      <c r="F170" s="4" t="s">
        <v>26</v>
      </c>
      <c r="G170" s="4" t="s">
        <v>27</v>
      </c>
      <c r="H170" s="5">
        <f>ROUND(-14999,0)</f>
        <v>-14999</v>
      </c>
      <c r="I170" s="6">
        <f t="shared" si="16"/>
        <v>0</v>
      </c>
      <c r="J170" s="6">
        <f>ROUND(1.15901246,2)</f>
        <v>1.1599999999999999</v>
      </c>
      <c r="K170" s="5">
        <f t="shared" si="17"/>
        <v>0</v>
      </c>
      <c r="L170" s="7">
        <f t="shared" si="18"/>
        <v>0</v>
      </c>
    </row>
    <row r="171" spans="1:12">
      <c r="A171" s="3" t="s">
        <v>145</v>
      </c>
      <c r="B171" s="4" t="s">
        <v>342</v>
      </c>
      <c r="C171" s="4"/>
      <c r="D171" s="4"/>
      <c r="E171" s="4" t="s">
        <v>30</v>
      </c>
      <c r="F171" s="4" t="s">
        <v>26</v>
      </c>
      <c r="G171" s="4" t="s">
        <v>27</v>
      </c>
      <c r="H171" s="5">
        <f>ROUND(-950,0)</f>
        <v>-950</v>
      </c>
      <c r="I171" s="6">
        <f t="shared" ref="I171:I196" si="19">ROUND(0,2)</f>
        <v>0</v>
      </c>
      <c r="J171" s="6">
        <f>ROUND(1.15901246,2)</f>
        <v>1.1599999999999999</v>
      </c>
      <c r="K171" s="5">
        <f t="shared" ref="K171:K196" si="20">ROUND(0,0)</f>
        <v>0</v>
      </c>
      <c r="L171" s="7">
        <f t="shared" ref="L171:L196" si="21">ROUND(0,4)</f>
        <v>0</v>
      </c>
    </row>
    <row r="172" spans="1:12">
      <c r="A172" s="3" t="s">
        <v>343</v>
      </c>
      <c r="B172" s="4" t="s">
        <v>344</v>
      </c>
      <c r="C172" s="4"/>
      <c r="D172" s="4"/>
      <c r="E172" s="4" t="s">
        <v>30</v>
      </c>
      <c r="F172" s="4" t="s">
        <v>72</v>
      </c>
      <c r="G172" s="4" t="s">
        <v>27</v>
      </c>
      <c r="H172" s="5">
        <f t="shared" ref="H172:H181" si="22">ROUND(0,0)</f>
        <v>0</v>
      </c>
      <c r="I172" s="6">
        <f t="shared" si="19"/>
        <v>0</v>
      </c>
      <c r="J172" s="6">
        <f>ROUND(6.12812423,2)</f>
        <v>6.13</v>
      </c>
      <c r="K172" s="5">
        <f t="shared" si="20"/>
        <v>0</v>
      </c>
      <c r="L172" s="7">
        <f t="shared" si="21"/>
        <v>0</v>
      </c>
    </row>
    <row r="173" spans="1:12">
      <c r="A173" s="3" t="s">
        <v>345</v>
      </c>
      <c r="B173" s="4" t="s">
        <v>346</v>
      </c>
      <c r="C173" s="4"/>
      <c r="D173" s="4"/>
      <c r="E173" s="4" t="s">
        <v>30</v>
      </c>
      <c r="F173" s="4" t="s">
        <v>45</v>
      </c>
      <c r="G173" s="4" t="s">
        <v>27</v>
      </c>
      <c r="H173" s="5">
        <f t="shared" si="22"/>
        <v>0</v>
      </c>
      <c r="I173" s="6">
        <f t="shared" si="19"/>
        <v>0</v>
      </c>
      <c r="J173" s="6">
        <f>ROUND(8.407077,2)</f>
        <v>8.41</v>
      </c>
      <c r="K173" s="5">
        <f t="shared" si="20"/>
        <v>0</v>
      </c>
      <c r="L173" s="7">
        <f t="shared" si="21"/>
        <v>0</v>
      </c>
    </row>
    <row r="174" spans="1:12">
      <c r="A174" s="3" t="s">
        <v>347</v>
      </c>
      <c r="B174" s="4" t="s">
        <v>348</v>
      </c>
      <c r="C174" s="4"/>
      <c r="D174" s="4"/>
      <c r="E174" s="4" t="s">
        <v>35</v>
      </c>
      <c r="F174" s="4" t="s">
        <v>21</v>
      </c>
      <c r="G174" s="4" t="s">
        <v>27</v>
      </c>
      <c r="H174" s="5">
        <f t="shared" si="22"/>
        <v>0</v>
      </c>
      <c r="I174" s="6">
        <f t="shared" si="19"/>
        <v>0</v>
      </c>
      <c r="J174" s="6">
        <f>ROUND(9.08595,2)</f>
        <v>9.09</v>
      </c>
      <c r="K174" s="5">
        <f t="shared" si="20"/>
        <v>0</v>
      </c>
      <c r="L174" s="7">
        <f t="shared" si="21"/>
        <v>0</v>
      </c>
    </row>
    <row r="175" spans="1:12">
      <c r="A175" s="3" t="s">
        <v>349</v>
      </c>
      <c r="B175" s="4" t="s">
        <v>350</v>
      </c>
      <c r="C175" s="4"/>
      <c r="D175" s="4"/>
      <c r="E175" s="4" t="s">
        <v>35</v>
      </c>
      <c r="F175" s="4" t="s">
        <v>21</v>
      </c>
      <c r="G175" s="4" t="s">
        <v>27</v>
      </c>
      <c r="H175" s="5">
        <f t="shared" si="22"/>
        <v>0</v>
      </c>
      <c r="I175" s="6">
        <f t="shared" si="19"/>
        <v>0</v>
      </c>
      <c r="J175" s="6">
        <f>ROUND(9.08595,2)</f>
        <v>9.09</v>
      </c>
      <c r="K175" s="5">
        <f t="shared" si="20"/>
        <v>0</v>
      </c>
      <c r="L175" s="7">
        <f t="shared" si="21"/>
        <v>0</v>
      </c>
    </row>
    <row r="176" spans="1:12">
      <c r="A176" s="3" t="s">
        <v>351</v>
      </c>
      <c r="B176" s="4" t="s">
        <v>352</v>
      </c>
      <c r="C176" s="4"/>
      <c r="D176" s="4"/>
      <c r="E176" s="4" t="s">
        <v>30</v>
      </c>
      <c r="F176" s="4" t="s">
        <v>19</v>
      </c>
      <c r="G176" s="4" t="s">
        <v>27</v>
      </c>
      <c r="H176" s="5">
        <f t="shared" si="22"/>
        <v>0</v>
      </c>
      <c r="I176" s="6">
        <f t="shared" si="19"/>
        <v>0</v>
      </c>
      <c r="J176" s="6">
        <f>ROUND(1.3267035,2)</f>
        <v>1.33</v>
      </c>
      <c r="K176" s="5">
        <f t="shared" si="20"/>
        <v>0</v>
      </c>
      <c r="L176" s="7">
        <f t="shared" si="21"/>
        <v>0</v>
      </c>
    </row>
    <row r="177" spans="1:12">
      <c r="A177" s="3" t="s">
        <v>353</v>
      </c>
      <c r="B177" s="4" t="s">
        <v>354</v>
      </c>
      <c r="C177" s="4"/>
      <c r="D177" s="4"/>
      <c r="E177" s="4" t="s">
        <v>25</v>
      </c>
      <c r="F177" s="4" t="s">
        <v>18</v>
      </c>
      <c r="G177" s="4" t="s">
        <v>27</v>
      </c>
      <c r="H177" s="5">
        <f t="shared" si="22"/>
        <v>0</v>
      </c>
      <c r="I177" s="6">
        <f t="shared" si="19"/>
        <v>0</v>
      </c>
      <c r="J177" s="6">
        <f>ROUND(9.9055,2)</f>
        <v>9.91</v>
      </c>
      <c r="K177" s="5">
        <f t="shared" si="20"/>
        <v>0</v>
      </c>
      <c r="L177" s="7">
        <f t="shared" si="21"/>
        <v>0</v>
      </c>
    </row>
    <row r="178" spans="1:12">
      <c r="A178" s="3" t="s">
        <v>294</v>
      </c>
      <c r="B178" s="4" t="s">
        <v>355</v>
      </c>
      <c r="C178" s="4"/>
      <c r="D178" s="4"/>
      <c r="E178" s="4" t="s">
        <v>35</v>
      </c>
      <c r="F178" s="4" t="s">
        <v>21</v>
      </c>
      <c r="G178" s="4" t="s">
        <v>27</v>
      </c>
      <c r="H178" s="5">
        <f t="shared" si="22"/>
        <v>0</v>
      </c>
      <c r="I178" s="6">
        <f t="shared" si="19"/>
        <v>0</v>
      </c>
      <c r="J178" s="6">
        <f>ROUND(9.08595,2)</f>
        <v>9.09</v>
      </c>
      <c r="K178" s="5">
        <f t="shared" si="20"/>
        <v>0</v>
      </c>
      <c r="L178" s="7">
        <f t="shared" si="21"/>
        <v>0</v>
      </c>
    </row>
    <row r="179" spans="1:12">
      <c r="A179" s="3" t="s">
        <v>356</v>
      </c>
      <c r="B179" s="4" t="s">
        <v>357</v>
      </c>
      <c r="C179" s="4"/>
      <c r="D179" s="4"/>
      <c r="E179" s="4" t="s">
        <v>30</v>
      </c>
      <c r="F179" s="4" t="s">
        <v>26</v>
      </c>
      <c r="G179" s="4" t="s">
        <v>27</v>
      </c>
      <c r="H179" s="5">
        <f t="shared" si="22"/>
        <v>0</v>
      </c>
      <c r="I179" s="6">
        <f t="shared" si="19"/>
        <v>0</v>
      </c>
      <c r="J179" s="6">
        <f>ROUND(1.15901246,2)</f>
        <v>1.1599999999999999</v>
      </c>
      <c r="K179" s="5">
        <f t="shared" si="20"/>
        <v>0</v>
      </c>
      <c r="L179" s="7">
        <f t="shared" si="21"/>
        <v>0</v>
      </c>
    </row>
    <row r="180" spans="1:12">
      <c r="A180" s="3" t="s">
        <v>358</v>
      </c>
      <c r="B180" s="4" t="s">
        <v>359</v>
      </c>
      <c r="C180" s="4"/>
      <c r="D180" s="4"/>
      <c r="E180" s="4" t="s">
        <v>30</v>
      </c>
      <c r="F180" s="4" t="s">
        <v>18</v>
      </c>
      <c r="G180" s="4" t="s">
        <v>27</v>
      </c>
      <c r="H180" s="5">
        <f t="shared" si="22"/>
        <v>0</v>
      </c>
      <c r="I180" s="6">
        <f t="shared" si="19"/>
        <v>0</v>
      </c>
      <c r="J180" s="6">
        <f>ROUND(9.9055,2)</f>
        <v>9.91</v>
      </c>
      <c r="K180" s="5">
        <f t="shared" si="20"/>
        <v>0</v>
      </c>
      <c r="L180" s="7">
        <f t="shared" si="21"/>
        <v>0</v>
      </c>
    </row>
    <row r="181" spans="1:12">
      <c r="A181" s="3" t="s">
        <v>294</v>
      </c>
      <c r="B181" s="4" t="s">
        <v>360</v>
      </c>
      <c r="C181" s="4"/>
      <c r="D181" s="4"/>
      <c r="E181" s="4" t="s">
        <v>35</v>
      </c>
      <c r="F181" s="4" t="s">
        <v>21</v>
      </c>
      <c r="G181" s="4" t="s">
        <v>27</v>
      </c>
      <c r="H181" s="5">
        <f t="shared" si="22"/>
        <v>0</v>
      </c>
      <c r="I181" s="6">
        <f t="shared" si="19"/>
        <v>0</v>
      </c>
      <c r="J181" s="6">
        <f>ROUND(9.08595,2)</f>
        <v>9.09</v>
      </c>
      <c r="K181" s="5">
        <f t="shared" si="20"/>
        <v>0</v>
      </c>
      <c r="L181" s="7">
        <f t="shared" si="21"/>
        <v>0</v>
      </c>
    </row>
    <row r="182" spans="1:12">
      <c r="A182" s="3" t="s">
        <v>361</v>
      </c>
      <c r="B182" s="4" t="s">
        <v>362</v>
      </c>
      <c r="C182" s="4"/>
      <c r="D182" s="4"/>
      <c r="E182" s="4" t="s">
        <v>25</v>
      </c>
      <c r="F182" s="4" t="s">
        <v>72</v>
      </c>
      <c r="G182" s="4" t="s">
        <v>27</v>
      </c>
      <c r="H182" s="5">
        <f>ROUND(-369,0)</f>
        <v>-369</v>
      </c>
      <c r="I182" s="6">
        <f t="shared" si="19"/>
        <v>0</v>
      </c>
      <c r="J182" s="6">
        <f>ROUND(6.12812423,2)</f>
        <v>6.13</v>
      </c>
      <c r="K182" s="5">
        <f t="shared" si="20"/>
        <v>0</v>
      </c>
      <c r="L182" s="7">
        <f t="shared" si="21"/>
        <v>0</v>
      </c>
    </row>
    <row r="183" spans="1:12">
      <c r="A183" s="3" t="s">
        <v>363</v>
      </c>
      <c r="B183" s="4" t="s">
        <v>364</v>
      </c>
      <c r="C183" s="4"/>
      <c r="D183" s="4"/>
      <c r="E183" s="4" t="s">
        <v>30</v>
      </c>
      <c r="F183" s="4" t="s">
        <v>18</v>
      </c>
      <c r="G183" s="4" t="s">
        <v>27</v>
      </c>
      <c r="H183" s="5">
        <f t="shared" ref="H183:H191" si="23">ROUND(0,0)</f>
        <v>0</v>
      </c>
      <c r="I183" s="6">
        <f t="shared" si="19"/>
        <v>0</v>
      </c>
      <c r="J183" s="6">
        <f>ROUND(9.9055,2)</f>
        <v>9.91</v>
      </c>
      <c r="K183" s="5">
        <f t="shared" si="20"/>
        <v>0</v>
      </c>
      <c r="L183" s="7">
        <f t="shared" si="21"/>
        <v>0</v>
      </c>
    </row>
    <row r="184" spans="1:12">
      <c r="A184" s="3" t="s">
        <v>365</v>
      </c>
      <c r="B184" s="4" t="s">
        <v>366</v>
      </c>
      <c r="C184" s="4"/>
      <c r="D184" s="4"/>
      <c r="E184" s="4" t="s">
        <v>25</v>
      </c>
      <c r="F184" s="4" t="s">
        <v>16</v>
      </c>
      <c r="G184" s="4" t="s">
        <v>27</v>
      </c>
      <c r="H184" s="5">
        <f t="shared" si="23"/>
        <v>0</v>
      </c>
      <c r="I184" s="6">
        <f t="shared" si="19"/>
        <v>0</v>
      </c>
      <c r="J184" s="6">
        <f>ROUND(9.11185723,2)</f>
        <v>9.11</v>
      </c>
      <c r="K184" s="5">
        <f t="shared" si="20"/>
        <v>0</v>
      </c>
      <c r="L184" s="7">
        <f t="shared" si="21"/>
        <v>0</v>
      </c>
    </row>
    <row r="185" spans="1:12">
      <c r="A185" s="3" t="s">
        <v>367</v>
      </c>
      <c r="B185" s="4" t="s">
        <v>368</v>
      </c>
      <c r="C185" s="4"/>
      <c r="D185" s="4"/>
      <c r="E185" s="4" t="s">
        <v>30</v>
      </c>
      <c r="F185" s="4" t="s">
        <v>26</v>
      </c>
      <c r="G185" s="4" t="s">
        <v>27</v>
      </c>
      <c r="H185" s="5">
        <f t="shared" si="23"/>
        <v>0</v>
      </c>
      <c r="I185" s="6">
        <f t="shared" si="19"/>
        <v>0</v>
      </c>
      <c r="J185" s="6">
        <f>ROUND(1.15901246,2)</f>
        <v>1.1599999999999999</v>
      </c>
      <c r="K185" s="5">
        <f t="shared" si="20"/>
        <v>0</v>
      </c>
      <c r="L185" s="7">
        <f t="shared" si="21"/>
        <v>0</v>
      </c>
    </row>
    <row r="186" spans="1:12">
      <c r="A186" s="3" t="s">
        <v>369</v>
      </c>
      <c r="B186" s="4" t="s">
        <v>370</v>
      </c>
      <c r="C186" s="4"/>
      <c r="D186" s="4"/>
      <c r="E186" s="4" t="s">
        <v>30</v>
      </c>
      <c r="F186" s="4" t="s">
        <v>18</v>
      </c>
      <c r="G186" s="4" t="s">
        <v>27</v>
      </c>
      <c r="H186" s="5">
        <f t="shared" si="23"/>
        <v>0</v>
      </c>
      <c r="I186" s="6">
        <f t="shared" si="19"/>
        <v>0</v>
      </c>
      <c r="J186" s="6">
        <f>ROUND(9.9055,2)</f>
        <v>9.91</v>
      </c>
      <c r="K186" s="5">
        <f t="shared" si="20"/>
        <v>0</v>
      </c>
      <c r="L186" s="7">
        <f t="shared" si="21"/>
        <v>0</v>
      </c>
    </row>
    <row r="187" spans="1:12">
      <c r="A187" s="3" t="s">
        <v>371</v>
      </c>
      <c r="B187" s="4" t="s">
        <v>372</v>
      </c>
      <c r="C187" s="4"/>
      <c r="D187" s="4"/>
      <c r="E187" s="4" t="s">
        <v>35</v>
      </c>
      <c r="F187" s="4" t="s">
        <v>21</v>
      </c>
      <c r="G187" s="4" t="s">
        <v>27</v>
      </c>
      <c r="H187" s="5">
        <f t="shared" si="23"/>
        <v>0</v>
      </c>
      <c r="I187" s="6">
        <f t="shared" si="19"/>
        <v>0</v>
      </c>
      <c r="J187" s="6">
        <f>ROUND(9.08595,2)</f>
        <v>9.09</v>
      </c>
      <c r="K187" s="5">
        <f t="shared" si="20"/>
        <v>0</v>
      </c>
      <c r="L187" s="7">
        <f t="shared" si="21"/>
        <v>0</v>
      </c>
    </row>
    <row r="188" spans="1:12">
      <c r="A188" s="3" t="s">
        <v>323</v>
      </c>
      <c r="B188" s="4" t="s">
        <v>373</v>
      </c>
      <c r="C188" s="4"/>
      <c r="D188" s="4"/>
      <c r="E188" s="4" t="s">
        <v>25</v>
      </c>
      <c r="F188" s="4" t="s">
        <v>26</v>
      </c>
      <c r="G188" s="4" t="s">
        <v>27</v>
      </c>
      <c r="H188" s="5">
        <f t="shared" si="23"/>
        <v>0</v>
      </c>
      <c r="I188" s="6">
        <f t="shared" si="19"/>
        <v>0</v>
      </c>
      <c r="J188" s="6">
        <f>ROUND(1.15901246,2)</f>
        <v>1.1599999999999999</v>
      </c>
      <c r="K188" s="5">
        <f t="shared" si="20"/>
        <v>0</v>
      </c>
      <c r="L188" s="7">
        <f t="shared" si="21"/>
        <v>0</v>
      </c>
    </row>
    <row r="189" spans="1:12">
      <c r="A189" s="3" t="s">
        <v>374</v>
      </c>
      <c r="B189" s="4" t="s">
        <v>375</v>
      </c>
      <c r="C189" s="4"/>
      <c r="D189" s="4"/>
      <c r="E189" s="4" t="s">
        <v>35</v>
      </c>
      <c r="F189" s="4" t="s">
        <v>21</v>
      </c>
      <c r="G189" s="4" t="s">
        <v>27</v>
      </c>
      <c r="H189" s="5">
        <f t="shared" si="23"/>
        <v>0</v>
      </c>
      <c r="I189" s="6">
        <f t="shared" si="19"/>
        <v>0</v>
      </c>
      <c r="J189" s="6">
        <f>ROUND(9.08595,2)</f>
        <v>9.09</v>
      </c>
      <c r="K189" s="5">
        <f t="shared" si="20"/>
        <v>0</v>
      </c>
      <c r="L189" s="7">
        <f t="shared" si="21"/>
        <v>0</v>
      </c>
    </row>
    <row r="190" spans="1:12">
      <c r="A190" s="3" t="s">
        <v>376</v>
      </c>
      <c r="B190" s="4" t="s">
        <v>377</v>
      </c>
      <c r="C190" s="4"/>
      <c r="D190" s="4"/>
      <c r="E190" s="4" t="s">
        <v>35</v>
      </c>
      <c r="F190" s="4" t="s">
        <v>21</v>
      </c>
      <c r="G190" s="4" t="s">
        <v>27</v>
      </c>
      <c r="H190" s="5">
        <f t="shared" si="23"/>
        <v>0</v>
      </c>
      <c r="I190" s="6">
        <f t="shared" si="19"/>
        <v>0</v>
      </c>
      <c r="J190" s="6">
        <f>ROUND(9.08595,2)</f>
        <v>9.09</v>
      </c>
      <c r="K190" s="5">
        <f t="shared" si="20"/>
        <v>0</v>
      </c>
      <c r="L190" s="7">
        <f t="shared" si="21"/>
        <v>0</v>
      </c>
    </row>
    <row r="191" spans="1:12">
      <c r="A191" s="3" t="s">
        <v>378</v>
      </c>
      <c r="B191" s="4" t="s">
        <v>379</v>
      </c>
      <c r="C191" s="4"/>
      <c r="D191" s="4"/>
      <c r="E191" s="4" t="s">
        <v>35</v>
      </c>
      <c r="F191" s="4" t="s">
        <v>21</v>
      </c>
      <c r="G191" s="4" t="s">
        <v>27</v>
      </c>
      <c r="H191" s="5">
        <f t="shared" si="23"/>
        <v>0</v>
      </c>
      <c r="I191" s="6">
        <f t="shared" si="19"/>
        <v>0</v>
      </c>
      <c r="J191" s="6">
        <f>ROUND(9.08595,2)</f>
        <v>9.09</v>
      </c>
      <c r="K191" s="5">
        <f t="shared" si="20"/>
        <v>0</v>
      </c>
      <c r="L191" s="7">
        <f t="shared" si="21"/>
        <v>0</v>
      </c>
    </row>
    <row r="192" spans="1:12">
      <c r="A192" s="3" t="s">
        <v>380</v>
      </c>
      <c r="B192" s="4" t="s">
        <v>381</v>
      </c>
      <c r="C192" s="4"/>
      <c r="D192" s="4"/>
      <c r="E192" s="4" t="s">
        <v>35</v>
      </c>
      <c r="F192" s="4" t="s">
        <v>21</v>
      </c>
      <c r="G192" s="4" t="s">
        <v>27</v>
      </c>
      <c r="H192" s="5">
        <f>ROUND(-557,0)</f>
        <v>-557</v>
      </c>
      <c r="I192" s="6">
        <f t="shared" si="19"/>
        <v>0</v>
      </c>
      <c r="J192" s="6">
        <f>ROUND(9.08595,2)</f>
        <v>9.09</v>
      </c>
      <c r="K192" s="5">
        <f t="shared" si="20"/>
        <v>0</v>
      </c>
      <c r="L192" s="7">
        <f t="shared" si="21"/>
        <v>0</v>
      </c>
    </row>
    <row r="193" spans="1:12">
      <c r="A193" s="3" t="s">
        <v>382</v>
      </c>
      <c r="B193" s="4" t="s">
        <v>383</v>
      </c>
      <c r="C193" s="4"/>
      <c r="D193" s="4"/>
      <c r="E193" s="4" t="s">
        <v>25</v>
      </c>
      <c r="F193" s="4" t="s">
        <v>18</v>
      </c>
      <c r="G193" s="4" t="s">
        <v>27</v>
      </c>
      <c r="H193" s="5">
        <f>ROUND(-70,0)</f>
        <v>-70</v>
      </c>
      <c r="I193" s="6">
        <f t="shared" si="19"/>
        <v>0</v>
      </c>
      <c r="J193" s="6">
        <f>ROUND(9.9055,2)</f>
        <v>9.91</v>
      </c>
      <c r="K193" s="5">
        <f t="shared" si="20"/>
        <v>0</v>
      </c>
      <c r="L193" s="7">
        <f t="shared" si="21"/>
        <v>0</v>
      </c>
    </row>
    <row r="194" spans="1:12">
      <c r="A194" s="3" t="s">
        <v>382</v>
      </c>
      <c r="B194" s="4" t="s">
        <v>384</v>
      </c>
      <c r="C194" s="4"/>
      <c r="D194" s="4"/>
      <c r="E194" s="4" t="s">
        <v>25</v>
      </c>
      <c r="F194" s="4" t="s">
        <v>18</v>
      </c>
      <c r="G194" s="4" t="s">
        <v>27</v>
      </c>
      <c r="H194" s="5">
        <f>ROUND(-4,0)</f>
        <v>-4</v>
      </c>
      <c r="I194" s="6">
        <f t="shared" si="19"/>
        <v>0</v>
      </c>
      <c r="J194" s="6">
        <f>ROUND(9.9055,2)</f>
        <v>9.91</v>
      </c>
      <c r="K194" s="5">
        <f t="shared" si="20"/>
        <v>0</v>
      </c>
      <c r="L194" s="7">
        <f t="shared" si="21"/>
        <v>0</v>
      </c>
    </row>
    <row r="195" spans="1:12">
      <c r="A195" s="3" t="s">
        <v>382</v>
      </c>
      <c r="B195" s="4" t="s">
        <v>385</v>
      </c>
      <c r="C195" s="4"/>
      <c r="D195" s="4"/>
      <c r="E195" s="4" t="s">
        <v>25</v>
      </c>
      <c r="F195" s="4" t="s">
        <v>18</v>
      </c>
      <c r="G195" s="4" t="s">
        <v>27</v>
      </c>
      <c r="H195" s="5">
        <f>ROUND(-5,0)</f>
        <v>-5</v>
      </c>
      <c r="I195" s="6">
        <f t="shared" si="19"/>
        <v>0</v>
      </c>
      <c r="J195" s="6">
        <f>ROUND(9.9055,2)</f>
        <v>9.91</v>
      </c>
      <c r="K195" s="5">
        <f t="shared" si="20"/>
        <v>0</v>
      </c>
      <c r="L195" s="7">
        <f t="shared" si="21"/>
        <v>0</v>
      </c>
    </row>
    <row r="196" spans="1:12">
      <c r="A196" s="3" t="s">
        <v>339</v>
      </c>
      <c r="B196" s="4" t="s">
        <v>386</v>
      </c>
      <c r="C196" s="4"/>
      <c r="D196" s="4"/>
      <c r="E196" s="4" t="s">
        <v>25</v>
      </c>
      <c r="F196" s="4" t="s">
        <v>26</v>
      </c>
      <c r="G196" s="4" t="s">
        <v>27</v>
      </c>
      <c r="H196" s="5">
        <f>ROUND(-16100,0)</f>
        <v>-16100</v>
      </c>
      <c r="I196" s="6">
        <f t="shared" si="19"/>
        <v>0</v>
      </c>
      <c r="J196" s="6">
        <f>ROUND(1.15901246,2)</f>
        <v>1.1599999999999999</v>
      </c>
      <c r="K196" s="5">
        <f t="shared" si="20"/>
        <v>0</v>
      </c>
      <c r="L196" s="7">
        <f t="shared" si="21"/>
        <v>0</v>
      </c>
    </row>
    <row r="197" spans="1:12">
      <c r="A197" s="3" t="s">
        <v>387</v>
      </c>
      <c r="B197" s="4" t="s">
        <v>388</v>
      </c>
      <c r="C197" s="4" t="s">
        <v>389</v>
      </c>
      <c r="D197" s="4" t="s">
        <v>390</v>
      </c>
      <c r="E197" s="4" t="s">
        <v>391</v>
      </c>
      <c r="F197" s="4" t="s">
        <v>72</v>
      </c>
      <c r="G197" s="4" t="s">
        <v>392</v>
      </c>
      <c r="H197" s="5">
        <f>ROUND(610,0)</f>
        <v>610</v>
      </c>
      <c r="I197" s="6">
        <f>ROUND(1.795,2)</f>
        <v>1.8</v>
      </c>
      <c r="J197" s="6">
        <f>ROUND(6.12812423,2)</f>
        <v>6.13</v>
      </c>
      <c r="K197" s="5">
        <f>ROUND(6709.99,0)</f>
        <v>6710</v>
      </c>
      <c r="L197" s="7">
        <f>ROUND(0.0000023320078740245,4)</f>
        <v>0</v>
      </c>
    </row>
    <row r="198" spans="1:12">
      <c r="A198" s="3" t="s">
        <v>393</v>
      </c>
      <c r="B198" s="4" t="s">
        <v>394</v>
      </c>
      <c r="C198" s="4" t="s">
        <v>389</v>
      </c>
      <c r="D198" s="4" t="s">
        <v>395</v>
      </c>
      <c r="E198" s="4" t="s">
        <v>396</v>
      </c>
      <c r="F198" s="4" t="s">
        <v>397</v>
      </c>
      <c r="G198" s="4" t="s">
        <v>392</v>
      </c>
      <c r="H198" s="5">
        <f>ROUND(275,0)</f>
        <v>275</v>
      </c>
      <c r="I198" s="6">
        <f>ROUND(9.35,2)</f>
        <v>9.35</v>
      </c>
      <c r="J198" s="6">
        <f>ROUND(2.18129969,2)</f>
        <v>2.1800000000000002</v>
      </c>
      <c r="K198" s="5">
        <f>ROUND(5608.67,0)</f>
        <v>5609</v>
      </c>
      <c r="L198" s="7">
        <f>ROUND(1.94925217516047E-06,4)</f>
        <v>0</v>
      </c>
    </row>
    <row r="199" spans="1:12">
      <c r="A199" s="3" t="s">
        <v>398</v>
      </c>
      <c r="B199" s="4" t="s">
        <v>399</v>
      </c>
      <c r="C199" s="4" t="s">
        <v>400</v>
      </c>
      <c r="D199" s="4" t="s">
        <v>401</v>
      </c>
      <c r="E199" s="4" t="s">
        <v>402</v>
      </c>
      <c r="F199" s="4" t="s">
        <v>403</v>
      </c>
      <c r="G199" s="4" t="s">
        <v>392</v>
      </c>
      <c r="H199" s="5">
        <f>ROUND(1055.6,0)</f>
        <v>1056</v>
      </c>
      <c r="I199" s="6">
        <f>ROUND(16.1,2)</f>
        <v>16.100000000000001</v>
      </c>
      <c r="J199" s="6">
        <f>ROUND(0.29286371,2)</f>
        <v>0.28999999999999998</v>
      </c>
      <c r="K199" s="5">
        <f>ROUND(4977.27,0)</f>
        <v>4977</v>
      </c>
      <c r="L199" s="7">
        <f>ROUND(1.72981373014653E-06,4)</f>
        <v>0</v>
      </c>
    </row>
    <row r="200" spans="1:12">
      <c r="A200" s="3" t="s">
        <v>404</v>
      </c>
      <c r="B200" s="4" t="s">
        <v>405</v>
      </c>
      <c r="C200" s="4" t="s">
        <v>406</v>
      </c>
      <c r="D200" s="4" t="s">
        <v>407</v>
      </c>
      <c r="E200" s="4" t="s">
        <v>35</v>
      </c>
      <c r="F200" s="4" t="s">
        <v>21</v>
      </c>
      <c r="G200" s="4" t="s">
        <v>408</v>
      </c>
      <c r="H200" s="5">
        <f>ROUND(50862,0)</f>
        <v>50862</v>
      </c>
      <c r="I200" s="6">
        <f>ROUND(139.03,2)</f>
        <v>139.03</v>
      </c>
      <c r="J200" s="6">
        <f t="shared" ref="J200:J205" si="24">ROUND(9.08595,2)</f>
        <v>9.09</v>
      </c>
      <c r="K200" s="5">
        <f>ROUND(64249876.74,0)</f>
        <v>64249877</v>
      </c>
      <c r="L200" s="7">
        <f>ROUND(0.0223295740325669,4)</f>
        <v>2.23E-2</v>
      </c>
    </row>
    <row r="201" spans="1:12">
      <c r="A201" s="3" t="s">
        <v>409</v>
      </c>
      <c r="B201" s="4" t="s">
        <v>410</v>
      </c>
      <c r="C201" s="4" t="s">
        <v>406</v>
      </c>
      <c r="D201" s="4" t="s">
        <v>407</v>
      </c>
      <c r="E201" s="4" t="s">
        <v>35</v>
      </c>
      <c r="F201" s="4" t="s">
        <v>21</v>
      </c>
      <c r="G201" s="4" t="s">
        <v>408</v>
      </c>
      <c r="H201" s="5">
        <f>ROUND(31279,0)</f>
        <v>31279</v>
      </c>
      <c r="I201" s="6">
        <f>ROUND(223.97,2)</f>
        <v>223.97</v>
      </c>
      <c r="J201" s="6">
        <f t="shared" si="24"/>
        <v>9.09</v>
      </c>
      <c r="K201" s="5">
        <f>ROUND(63652146.35,0)</f>
        <v>63652146</v>
      </c>
      <c r="L201" s="7">
        <f>ROUND(0.0221218372138796,4)</f>
        <v>2.2100000000000002E-2</v>
      </c>
    </row>
    <row r="202" spans="1:12">
      <c r="A202" s="3" t="s">
        <v>411</v>
      </c>
      <c r="B202" s="4" t="s">
        <v>412</v>
      </c>
      <c r="C202" s="4" t="s">
        <v>389</v>
      </c>
      <c r="D202" s="4" t="s">
        <v>407</v>
      </c>
      <c r="E202" s="4" t="s">
        <v>35</v>
      </c>
      <c r="F202" s="4" t="s">
        <v>21</v>
      </c>
      <c r="G202" s="4" t="s">
        <v>408</v>
      </c>
      <c r="H202" s="5">
        <f>ROUND(2843,0)</f>
        <v>2843</v>
      </c>
      <c r="I202" s="6">
        <f>ROUND(1735.91,2)</f>
        <v>1735.91</v>
      </c>
      <c r="J202" s="6">
        <f t="shared" si="24"/>
        <v>9.09</v>
      </c>
      <c r="K202" s="5">
        <f>ROUND(44840908.93,0)</f>
        <v>44840909</v>
      </c>
      <c r="L202" s="7">
        <f>ROUND(0.0155841294403085,4)</f>
        <v>1.5599999999999999E-2</v>
      </c>
    </row>
    <row r="203" spans="1:12">
      <c r="A203" s="3" t="s">
        <v>413</v>
      </c>
      <c r="B203" s="4" t="s">
        <v>414</v>
      </c>
      <c r="C203" s="4" t="s">
        <v>415</v>
      </c>
      <c r="D203" s="4" t="s">
        <v>407</v>
      </c>
      <c r="E203" s="4" t="s">
        <v>35</v>
      </c>
      <c r="F203" s="4" t="s">
        <v>21</v>
      </c>
      <c r="G203" s="4" t="s">
        <v>408</v>
      </c>
      <c r="H203" s="5">
        <f>ROUND(16454,0)</f>
        <v>16454</v>
      </c>
      <c r="I203" s="6">
        <f>ROUND(178.08,2)</f>
        <v>178.08</v>
      </c>
      <c r="J203" s="6">
        <f t="shared" si="24"/>
        <v>9.09</v>
      </c>
      <c r="K203" s="5">
        <f>ROUND(26622999.41,0)</f>
        <v>26622999</v>
      </c>
      <c r="L203" s="7">
        <f>ROUND(0.00925262843227334,4)</f>
        <v>9.2999999999999992E-3</v>
      </c>
    </row>
    <row r="204" spans="1:12">
      <c r="A204" s="3" t="s">
        <v>416</v>
      </c>
      <c r="B204" s="4" t="s">
        <v>417</v>
      </c>
      <c r="C204" s="4" t="s">
        <v>415</v>
      </c>
      <c r="D204" s="4" t="s">
        <v>407</v>
      </c>
      <c r="E204" s="4" t="s">
        <v>35</v>
      </c>
      <c r="F204" s="4" t="s">
        <v>21</v>
      </c>
      <c r="G204" s="4" t="s">
        <v>408</v>
      </c>
      <c r="H204" s="5">
        <f>ROUND(2376,0)</f>
        <v>2376</v>
      </c>
      <c r="I204" s="6">
        <f>ROUND(1219,2)</f>
        <v>1219</v>
      </c>
      <c r="J204" s="6">
        <f t="shared" si="24"/>
        <v>9.09</v>
      </c>
      <c r="K204" s="5">
        <f>ROUND(26316036.77,0)</f>
        <v>26316037</v>
      </c>
      <c r="L204" s="7">
        <f>ROUND(0.00914594581523347,4)</f>
        <v>9.1000000000000004E-3</v>
      </c>
    </row>
    <row r="205" spans="1:12">
      <c r="A205" s="3" t="s">
        <v>418</v>
      </c>
      <c r="B205" s="4" t="s">
        <v>419</v>
      </c>
      <c r="C205" s="4" t="s">
        <v>400</v>
      </c>
      <c r="D205" s="4" t="s">
        <v>407</v>
      </c>
      <c r="E205" s="4" t="s">
        <v>35</v>
      </c>
      <c r="F205" s="4" t="s">
        <v>21</v>
      </c>
      <c r="G205" s="4" t="s">
        <v>408</v>
      </c>
      <c r="H205" s="5">
        <f>ROUND(23190,0)</f>
        <v>23190</v>
      </c>
      <c r="I205" s="6">
        <f>ROUND(117.69,2)</f>
        <v>117.69</v>
      </c>
      <c r="J205" s="6">
        <f t="shared" si="24"/>
        <v>9.09</v>
      </c>
      <c r="K205" s="5">
        <f>ROUND(24797657.31,0)</f>
        <v>24797657</v>
      </c>
      <c r="L205" s="7">
        <f>ROUND(0.00861824415599447,4)</f>
        <v>8.6E-3</v>
      </c>
    </row>
    <row r="206" spans="1:12">
      <c r="A206" s="3" t="s">
        <v>420</v>
      </c>
      <c r="B206" s="4" t="s">
        <v>421</v>
      </c>
      <c r="C206" s="4" t="s">
        <v>422</v>
      </c>
      <c r="D206" s="4" t="s">
        <v>423</v>
      </c>
      <c r="E206" s="4" t="s">
        <v>25</v>
      </c>
      <c r="F206" s="4" t="s">
        <v>16</v>
      </c>
      <c r="G206" s="4" t="s">
        <v>408</v>
      </c>
      <c r="H206" s="5">
        <f>ROUND(23173,0)</f>
        <v>23173</v>
      </c>
      <c r="I206" s="6">
        <f>ROUND(108.28,2)</f>
        <v>108.28</v>
      </c>
      <c r="J206" s="6">
        <f>ROUND(9.11185723,2)</f>
        <v>9.11</v>
      </c>
      <c r="K206" s="5">
        <f>ROUND(22863221.04,0)</f>
        <v>22863221</v>
      </c>
      <c r="L206" s="7">
        <f>ROUND(0.00794594500004363,4)</f>
        <v>7.9000000000000008E-3</v>
      </c>
    </row>
    <row r="207" spans="1:12">
      <c r="A207" s="3" t="s">
        <v>424</v>
      </c>
      <c r="B207" s="4" t="s">
        <v>425</v>
      </c>
      <c r="C207" s="4" t="s">
        <v>422</v>
      </c>
      <c r="D207" s="4" t="s">
        <v>407</v>
      </c>
      <c r="E207" s="4" t="s">
        <v>35</v>
      </c>
      <c r="F207" s="4" t="s">
        <v>21</v>
      </c>
      <c r="G207" s="4" t="s">
        <v>408</v>
      </c>
      <c r="H207" s="5">
        <f>ROUND(19943,0)</f>
        <v>19943</v>
      </c>
      <c r="I207" s="6">
        <f>ROUND(124.38,2)</f>
        <v>124.38</v>
      </c>
      <c r="J207" s="6">
        <f t="shared" ref="J207:J215" si="25">ROUND(9.08595,2)</f>
        <v>9.09</v>
      </c>
      <c r="K207" s="5">
        <f>ROUND(22537792.92,0)</f>
        <v>22537793</v>
      </c>
      <c r="L207" s="7">
        <f>ROUND(0.00783284484068885,4)</f>
        <v>7.7999999999999996E-3</v>
      </c>
    </row>
    <row r="208" spans="1:12">
      <c r="A208" s="3" t="s">
        <v>426</v>
      </c>
      <c r="B208" s="4" t="s">
        <v>427</v>
      </c>
      <c r="C208" s="4" t="s">
        <v>415</v>
      </c>
      <c r="D208" s="4" t="s">
        <v>407</v>
      </c>
      <c r="E208" s="4" t="s">
        <v>35</v>
      </c>
      <c r="F208" s="4" t="s">
        <v>21</v>
      </c>
      <c r="G208" s="4" t="s">
        <v>408</v>
      </c>
      <c r="H208" s="5">
        <f>ROUND(1841,0)</f>
        <v>1841</v>
      </c>
      <c r="I208" s="6">
        <f>ROUND(1221.14,2)</f>
        <v>1221.1400000000001</v>
      </c>
      <c r="J208" s="6">
        <f t="shared" si="25"/>
        <v>9.09</v>
      </c>
      <c r="K208" s="5">
        <f>ROUND(20426294.47,0)</f>
        <v>20426294</v>
      </c>
      <c r="L208" s="7">
        <f>ROUND(0.00709900902105416,4)</f>
        <v>7.1000000000000004E-3</v>
      </c>
    </row>
    <row r="209" spans="1:12">
      <c r="A209" s="3" t="s">
        <v>428</v>
      </c>
      <c r="B209" s="4" t="s">
        <v>429</v>
      </c>
      <c r="C209" s="4" t="s">
        <v>430</v>
      </c>
      <c r="D209" s="4" t="s">
        <v>407</v>
      </c>
      <c r="E209" s="4" t="s">
        <v>35</v>
      </c>
      <c r="F209" s="4" t="s">
        <v>21</v>
      </c>
      <c r="G209" s="4" t="s">
        <v>408</v>
      </c>
      <c r="H209" s="5">
        <f>ROUND(31763,0)</f>
        <v>31763</v>
      </c>
      <c r="I209" s="6">
        <f>ROUND(70.61,2)</f>
        <v>70.61</v>
      </c>
      <c r="J209" s="6">
        <f t="shared" si="25"/>
        <v>9.09</v>
      </c>
      <c r="K209" s="5">
        <f>ROUND(20377836.28,0)</f>
        <v>20377836</v>
      </c>
      <c r="L209" s="7">
        <f>ROUND(0.00708216773207445,4)</f>
        <v>7.1000000000000004E-3</v>
      </c>
    </row>
    <row r="210" spans="1:12">
      <c r="A210" s="3" t="s">
        <v>431</v>
      </c>
      <c r="B210" s="4" t="s">
        <v>432</v>
      </c>
      <c r="C210" s="4" t="s">
        <v>406</v>
      </c>
      <c r="D210" s="4" t="s">
        <v>407</v>
      </c>
      <c r="E210" s="4" t="s">
        <v>35</v>
      </c>
      <c r="F210" s="4" t="s">
        <v>21</v>
      </c>
      <c r="G210" s="4" t="s">
        <v>408</v>
      </c>
      <c r="H210" s="5">
        <f>ROUND(12981,0)</f>
        <v>12981</v>
      </c>
      <c r="I210" s="6">
        <f>ROUND(172.01,2)</f>
        <v>172.01</v>
      </c>
      <c r="J210" s="6">
        <f t="shared" si="25"/>
        <v>9.09</v>
      </c>
      <c r="K210" s="5">
        <f>ROUND(20287670.76,0)</f>
        <v>20287671</v>
      </c>
      <c r="L210" s="7">
        <f>ROUND(0.00705083136605818,4)</f>
        <v>7.1000000000000004E-3</v>
      </c>
    </row>
    <row r="211" spans="1:12">
      <c r="A211" s="3" t="s">
        <v>433</v>
      </c>
      <c r="B211" s="4" t="s">
        <v>434</v>
      </c>
      <c r="C211" s="4" t="s">
        <v>400</v>
      </c>
      <c r="D211" s="4" t="s">
        <v>407</v>
      </c>
      <c r="E211" s="4" t="s">
        <v>35</v>
      </c>
      <c r="F211" s="4" t="s">
        <v>21</v>
      </c>
      <c r="G211" s="4" t="s">
        <v>408</v>
      </c>
      <c r="H211" s="5">
        <f>ROUND(9529,0)</f>
        <v>9529</v>
      </c>
      <c r="I211" s="6">
        <f>ROUND(208.02,2)</f>
        <v>208.02</v>
      </c>
      <c r="J211" s="6">
        <f t="shared" si="25"/>
        <v>9.09</v>
      </c>
      <c r="K211" s="5">
        <f>ROUND(18010375.25,0)</f>
        <v>18010375</v>
      </c>
      <c r="L211" s="7">
        <f>ROUND(0.00625937399267899,4)</f>
        <v>6.3E-3</v>
      </c>
    </row>
    <row r="212" spans="1:12">
      <c r="A212" s="3" t="s">
        <v>435</v>
      </c>
      <c r="B212" s="4" t="s">
        <v>436</v>
      </c>
      <c r="C212" s="4" t="s">
        <v>415</v>
      </c>
      <c r="D212" s="4" t="s">
        <v>407</v>
      </c>
      <c r="E212" s="4" t="s">
        <v>35</v>
      </c>
      <c r="F212" s="4" t="s">
        <v>21</v>
      </c>
      <c r="G212" s="4" t="s">
        <v>408</v>
      </c>
      <c r="H212" s="5">
        <f>ROUND(51608,0)</f>
        <v>51608</v>
      </c>
      <c r="I212" s="6">
        <f>ROUND(37.84,2)</f>
        <v>37.840000000000003</v>
      </c>
      <c r="J212" s="6">
        <f t="shared" si="25"/>
        <v>9.09</v>
      </c>
      <c r="K212" s="5">
        <f>ROUND(17743467.66,0)</f>
        <v>17743468</v>
      </c>
      <c r="L212" s="7">
        <f>ROUND(0.00616661221486458,4)</f>
        <v>6.1999999999999998E-3</v>
      </c>
    </row>
    <row r="213" spans="1:12">
      <c r="A213" s="3" t="s">
        <v>437</v>
      </c>
      <c r="B213" s="4" t="s">
        <v>438</v>
      </c>
      <c r="C213" s="4" t="s">
        <v>389</v>
      </c>
      <c r="D213" s="4" t="s">
        <v>407</v>
      </c>
      <c r="E213" s="4" t="s">
        <v>35</v>
      </c>
      <c r="F213" s="4" t="s">
        <v>21</v>
      </c>
      <c r="G213" s="4" t="s">
        <v>408</v>
      </c>
      <c r="H213" s="5">
        <f>ROUND(8023,0)</f>
        <v>8023</v>
      </c>
      <c r="I213" s="6">
        <f>ROUND(232.02,2)</f>
        <v>232.02</v>
      </c>
      <c r="J213" s="6">
        <f t="shared" si="25"/>
        <v>9.09</v>
      </c>
      <c r="K213" s="5">
        <f>ROUND(16913463.76,0)</f>
        <v>16913464</v>
      </c>
      <c r="L213" s="7">
        <f>ROUND(0.00587815043917325,4)</f>
        <v>5.8999999999999999E-3</v>
      </c>
    </row>
    <row r="214" spans="1:12">
      <c r="A214" s="3" t="s">
        <v>439</v>
      </c>
      <c r="B214" s="4" t="s">
        <v>440</v>
      </c>
      <c r="C214" s="4" t="s">
        <v>400</v>
      </c>
      <c r="D214" s="4" t="s">
        <v>407</v>
      </c>
      <c r="E214" s="4" t="s">
        <v>35</v>
      </c>
      <c r="F214" s="4" t="s">
        <v>21</v>
      </c>
      <c r="G214" s="4" t="s">
        <v>408</v>
      </c>
      <c r="H214" s="5">
        <f>ROUND(63334,0)</f>
        <v>63334</v>
      </c>
      <c r="I214" s="6">
        <f>ROUND(29.17,2)</f>
        <v>29.17</v>
      </c>
      <c r="J214" s="6">
        <f t="shared" si="25"/>
        <v>9.09</v>
      </c>
      <c r="K214" s="5">
        <f>ROUND(16785863.59,0)</f>
        <v>16785864</v>
      </c>
      <c r="L214" s="7">
        <f>ROUND(0.00583380393475717,4)</f>
        <v>5.7999999999999996E-3</v>
      </c>
    </row>
    <row r="215" spans="1:12">
      <c r="A215" s="3" t="s">
        <v>441</v>
      </c>
      <c r="B215" s="4" t="s">
        <v>442</v>
      </c>
      <c r="C215" s="4" t="s">
        <v>406</v>
      </c>
      <c r="D215" s="4" t="s">
        <v>407</v>
      </c>
      <c r="E215" s="4" t="s">
        <v>35</v>
      </c>
      <c r="F215" s="4" t="s">
        <v>21</v>
      </c>
      <c r="G215" s="4" t="s">
        <v>408</v>
      </c>
      <c r="H215" s="5">
        <f>ROUND(6643,0)</f>
        <v>6643</v>
      </c>
      <c r="I215" s="6">
        <f>ROUND(271.57,2)</f>
        <v>271.57</v>
      </c>
      <c r="J215" s="6">
        <f t="shared" si="25"/>
        <v>9.09</v>
      </c>
      <c r="K215" s="5">
        <f>ROUND(16391412.79,0)</f>
        <v>16391413</v>
      </c>
      <c r="L215" s="7">
        <f>ROUND(0.00569671544855745,4)</f>
        <v>5.7000000000000002E-3</v>
      </c>
    </row>
    <row r="216" spans="1:12">
      <c r="A216" s="3" t="s">
        <v>443</v>
      </c>
      <c r="B216" s="4" t="s">
        <v>444</v>
      </c>
      <c r="C216" s="4" t="s">
        <v>445</v>
      </c>
      <c r="D216" s="4" t="s">
        <v>423</v>
      </c>
      <c r="E216" s="4" t="s">
        <v>25</v>
      </c>
      <c r="F216" s="4" t="s">
        <v>16</v>
      </c>
      <c r="G216" s="4" t="s">
        <v>408</v>
      </c>
      <c r="H216" s="5">
        <f>ROUND(6022,0)</f>
        <v>6022</v>
      </c>
      <c r="I216" s="6">
        <f>ROUND(290.45,2)</f>
        <v>290.45</v>
      </c>
      <c r="J216" s="6">
        <f>ROUND(9.11185723,2)</f>
        <v>9.11</v>
      </c>
      <c r="K216" s="5">
        <f>ROUND(15937457.45,0)</f>
        <v>15937457</v>
      </c>
      <c r="L216" s="7">
        <f>ROUND(0.0055389465953497,4)</f>
        <v>5.4999999999999997E-3</v>
      </c>
    </row>
    <row r="217" spans="1:12">
      <c r="A217" s="3" t="s">
        <v>446</v>
      </c>
      <c r="B217" s="4" t="s">
        <v>447</v>
      </c>
      <c r="C217" s="4" t="s">
        <v>415</v>
      </c>
      <c r="D217" s="4" t="s">
        <v>407</v>
      </c>
      <c r="E217" s="4" t="s">
        <v>35</v>
      </c>
      <c r="F217" s="4" t="s">
        <v>21</v>
      </c>
      <c r="G217" s="4" t="s">
        <v>408</v>
      </c>
      <c r="H217" s="5">
        <f>ROUND(28877,0)</f>
        <v>28877</v>
      </c>
      <c r="I217" s="6">
        <f>ROUND(60.36,2)</f>
        <v>60.36</v>
      </c>
      <c r="J217" s="6">
        <f>ROUND(9.08595,2)</f>
        <v>9.09</v>
      </c>
      <c r="K217" s="5">
        <f>ROUND(15836953.68,0)</f>
        <v>15836954</v>
      </c>
      <c r="L217" s="7">
        <f>ROUND(0.0055040172462733,4)</f>
        <v>5.4999999999999997E-3</v>
      </c>
    </row>
    <row r="218" spans="1:12">
      <c r="A218" s="3" t="s">
        <v>448</v>
      </c>
      <c r="B218" s="4" t="s">
        <v>449</v>
      </c>
      <c r="C218" s="4" t="s">
        <v>430</v>
      </c>
      <c r="D218" s="4" t="s">
        <v>407</v>
      </c>
      <c r="E218" s="4" t="s">
        <v>35</v>
      </c>
      <c r="F218" s="4" t="s">
        <v>21</v>
      </c>
      <c r="G218" s="4" t="s">
        <v>408</v>
      </c>
      <c r="H218" s="5">
        <f>ROUND(14314,0)</f>
        <v>14314</v>
      </c>
      <c r="I218" s="6">
        <f>ROUND(118.6,2)</f>
        <v>118.6</v>
      </c>
      <c r="J218" s="6">
        <f>ROUND(9.08595,2)</f>
        <v>9.09</v>
      </c>
      <c r="K218" s="5">
        <f>ROUND(15424675.79,0)</f>
        <v>15424676</v>
      </c>
      <c r="L218" s="7">
        <f>ROUND(0.00536073308552698,4)</f>
        <v>5.4000000000000003E-3</v>
      </c>
    </row>
    <row r="219" spans="1:12">
      <c r="A219" s="3" t="s">
        <v>450</v>
      </c>
      <c r="B219" s="4" t="s">
        <v>451</v>
      </c>
      <c r="C219" s="4" t="s">
        <v>415</v>
      </c>
      <c r="D219" s="4" t="s">
        <v>407</v>
      </c>
      <c r="E219" s="4" t="s">
        <v>35</v>
      </c>
      <c r="F219" s="4" t="s">
        <v>21</v>
      </c>
      <c r="G219" s="4" t="s">
        <v>408</v>
      </c>
      <c r="H219" s="5">
        <f>ROUND(13021,0)</f>
        <v>13021</v>
      </c>
      <c r="I219" s="6">
        <f>ROUND(130.32,2)</f>
        <v>130.32</v>
      </c>
      <c r="J219" s="6">
        <f>ROUND(9.08595,2)</f>
        <v>9.09</v>
      </c>
      <c r="K219" s="5">
        <f>ROUND(15417918.75,0)</f>
        <v>15417919</v>
      </c>
      <c r="L219" s="7">
        <f>ROUND(0.00535838472577009,4)</f>
        <v>5.4000000000000003E-3</v>
      </c>
    </row>
    <row r="220" spans="1:12">
      <c r="A220" s="3" t="s">
        <v>452</v>
      </c>
      <c r="B220" s="4" t="s">
        <v>453</v>
      </c>
      <c r="C220" s="4" t="s">
        <v>406</v>
      </c>
      <c r="D220" s="4" t="s">
        <v>407</v>
      </c>
      <c r="E220" s="4" t="s">
        <v>35</v>
      </c>
      <c r="F220" s="4" t="s">
        <v>21</v>
      </c>
      <c r="G220" s="4" t="s">
        <v>408</v>
      </c>
      <c r="H220" s="5">
        <f>ROUND(32725,0)</f>
        <v>32725</v>
      </c>
      <c r="I220" s="6">
        <f>ROUND(51.53,2)</f>
        <v>51.53</v>
      </c>
      <c r="J220" s="6">
        <f>ROUND(9.08595,2)</f>
        <v>9.09</v>
      </c>
      <c r="K220" s="5">
        <f>ROUND(15321812.39,0)</f>
        <v>15321812</v>
      </c>
      <c r="L220" s="7">
        <f>ROUND(0.0053249836643283,4)</f>
        <v>5.3E-3</v>
      </c>
    </row>
    <row r="221" spans="1:12">
      <c r="A221" s="3" t="s">
        <v>454</v>
      </c>
      <c r="B221" s="4" t="s">
        <v>455</v>
      </c>
      <c r="C221" s="4" t="s">
        <v>415</v>
      </c>
      <c r="D221" s="4" t="s">
        <v>456</v>
      </c>
      <c r="E221" s="4" t="s">
        <v>457</v>
      </c>
      <c r="F221" s="4" t="s">
        <v>26</v>
      </c>
      <c r="G221" s="4" t="s">
        <v>408</v>
      </c>
      <c r="H221" s="5">
        <f>ROUND(40000,0)</f>
        <v>40000</v>
      </c>
      <c r="I221" s="6">
        <f>ROUND(330.2,2)</f>
        <v>330.2</v>
      </c>
      <c r="J221" s="6">
        <f>ROUND(1.15901246,2)</f>
        <v>1.1599999999999999</v>
      </c>
      <c r="K221" s="5">
        <f>ROUND(15308236.57,0)</f>
        <v>15308237</v>
      </c>
      <c r="L221" s="7">
        <f>ROUND(0.00532026548752977,4)</f>
        <v>5.3E-3</v>
      </c>
    </row>
    <row r="222" spans="1:12">
      <c r="A222" s="3" t="s">
        <v>458</v>
      </c>
      <c r="B222" s="4" t="s">
        <v>459</v>
      </c>
      <c r="C222" s="4" t="s">
        <v>389</v>
      </c>
      <c r="D222" s="4" t="s">
        <v>456</v>
      </c>
      <c r="E222" s="4" t="s">
        <v>457</v>
      </c>
      <c r="F222" s="4" t="s">
        <v>21</v>
      </c>
      <c r="G222" s="4" t="s">
        <v>408</v>
      </c>
      <c r="H222" s="5">
        <f>ROUND(10005,0)</f>
        <v>10005</v>
      </c>
      <c r="I222" s="6">
        <f>ROUND(167.23,2)</f>
        <v>167.23</v>
      </c>
      <c r="J222" s="6">
        <f t="shared" ref="J222:J230" si="26">ROUND(9.08595,2)</f>
        <v>9.09</v>
      </c>
      <c r="K222" s="5">
        <f>ROUND(15202031.4,0)</f>
        <v>15202031</v>
      </c>
      <c r="L222" s="7">
        <f>ROUND(0.00528335465864596,4)</f>
        <v>5.3E-3</v>
      </c>
    </row>
    <row r="223" spans="1:12">
      <c r="A223" s="3" t="s">
        <v>460</v>
      </c>
      <c r="B223" s="4" t="s">
        <v>461</v>
      </c>
      <c r="C223" s="4" t="s">
        <v>422</v>
      </c>
      <c r="D223" s="4" t="s">
        <v>407</v>
      </c>
      <c r="E223" s="4" t="s">
        <v>35</v>
      </c>
      <c r="F223" s="4" t="s">
        <v>21</v>
      </c>
      <c r="G223" s="4" t="s">
        <v>408</v>
      </c>
      <c r="H223" s="5">
        <f>ROUND(29920,0)</f>
        <v>29920</v>
      </c>
      <c r="I223" s="6">
        <f>ROUND(54.44,2)</f>
        <v>54.44</v>
      </c>
      <c r="J223" s="6">
        <f t="shared" si="26"/>
        <v>9.09</v>
      </c>
      <c r="K223" s="5">
        <f>ROUND(14799602.41,0)</f>
        <v>14799602</v>
      </c>
      <c r="L223" s="7">
        <f>ROUND(0.00514349341095174,4)</f>
        <v>5.1000000000000004E-3</v>
      </c>
    </row>
    <row r="224" spans="1:12">
      <c r="A224" s="3" t="s">
        <v>462</v>
      </c>
      <c r="B224" s="4" t="s">
        <v>463</v>
      </c>
      <c r="C224" s="4" t="s">
        <v>445</v>
      </c>
      <c r="D224" s="4" t="s">
        <v>407</v>
      </c>
      <c r="E224" s="4" t="s">
        <v>35</v>
      </c>
      <c r="F224" s="4" t="s">
        <v>21</v>
      </c>
      <c r="G224" s="4" t="s">
        <v>408</v>
      </c>
      <c r="H224" s="5">
        <f>ROUND(18930,0)</f>
        <v>18930</v>
      </c>
      <c r="I224" s="6">
        <f>ROUND(84.18,2)</f>
        <v>84.18</v>
      </c>
      <c r="J224" s="6">
        <f t="shared" si="26"/>
        <v>9.09</v>
      </c>
      <c r="K224" s="5">
        <f>ROUND(14478710.28,0)</f>
        <v>14478710</v>
      </c>
      <c r="L224" s="7">
        <f>ROUND(0.00503196970169546,4)</f>
        <v>5.0000000000000001E-3</v>
      </c>
    </row>
    <row r="225" spans="1:12">
      <c r="A225" s="3" t="s">
        <v>464</v>
      </c>
      <c r="B225" s="4" t="s">
        <v>465</v>
      </c>
      <c r="C225" s="4" t="s">
        <v>415</v>
      </c>
      <c r="D225" s="4" t="s">
        <v>407</v>
      </c>
      <c r="E225" s="4" t="s">
        <v>35</v>
      </c>
      <c r="F225" s="4" t="s">
        <v>21</v>
      </c>
      <c r="G225" s="4" t="s">
        <v>408</v>
      </c>
      <c r="H225" s="5">
        <f>ROUND(34690,0)</f>
        <v>34690</v>
      </c>
      <c r="I225" s="6">
        <f>ROUND(45.08,2)</f>
        <v>45.08</v>
      </c>
      <c r="J225" s="6">
        <f t="shared" si="26"/>
        <v>9.09</v>
      </c>
      <c r="K225" s="5">
        <f>ROUND(14208837.58,0)</f>
        <v>14208838</v>
      </c>
      <c r="L225" s="7">
        <f>ROUND(0.0049381774216199,4)</f>
        <v>4.8999999999999998E-3</v>
      </c>
    </row>
    <row r="226" spans="1:12">
      <c r="A226" s="3" t="s">
        <v>466</v>
      </c>
      <c r="B226" s="4" t="s">
        <v>467</v>
      </c>
      <c r="C226" s="4" t="s">
        <v>406</v>
      </c>
      <c r="D226" s="4" t="s">
        <v>407</v>
      </c>
      <c r="E226" s="4" t="s">
        <v>35</v>
      </c>
      <c r="F226" s="4" t="s">
        <v>21</v>
      </c>
      <c r="G226" s="4" t="s">
        <v>408</v>
      </c>
      <c r="H226" s="5">
        <f>ROUND(31433,0)</f>
        <v>31433</v>
      </c>
      <c r="I226" s="6">
        <f>ROUND(49.41,2)</f>
        <v>49.41</v>
      </c>
      <c r="J226" s="6">
        <f t="shared" si="26"/>
        <v>9.09</v>
      </c>
      <c r="K226" s="5">
        <f>ROUND(14111430.1,0)</f>
        <v>14111430</v>
      </c>
      <c r="L226" s="7">
        <f>ROUND(0.00490432416545277,4)</f>
        <v>4.8999999999999998E-3</v>
      </c>
    </row>
    <row r="227" spans="1:12">
      <c r="A227" s="3" t="s">
        <v>468</v>
      </c>
      <c r="B227" s="4" t="s">
        <v>469</v>
      </c>
      <c r="C227" s="4" t="s">
        <v>400</v>
      </c>
      <c r="D227" s="4" t="s">
        <v>407</v>
      </c>
      <c r="E227" s="4" t="s">
        <v>35</v>
      </c>
      <c r="F227" s="4" t="s">
        <v>21</v>
      </c>
      <c r="G227" s="4" t="s">
        <v>408</v>
      </c>
      <c r="H227" s="5">
        <f>ROUND(30662,0)</f>
        <v>30662</v>
      </c>
      <c r="I227" s="6">
        <f>ROUND(50.44,2)</f>
        <v>50.44</v>
      </c>
      <c r="J227" s="6">
        <f t="shared" si="26"/>
        <v>9.09</v>
      </c>
      <c r="K227" s="5">
        <f>ROUND(14052251.04,0)</f>
        <v>14052251</v>
      </c>
      <c r="L227" s="7">
        <f>ROUND(0.00488375691663461,4)</f>
        <v>4.8999999999999998E-3</v>
      </c>
    </row>
    <row r="228" spans="1:12">
      <c r="A228" s="3" t="s">
        <v>470</v>
      </c>
      <c r="B228" s="4" t="s">
        <v>471</v>
      </c>
      <c r="C228" s="4" t="s">
        <v>422</v>
      </c>
      <c r="D228" s="4" t="s">
        <v>407</v>
      </c>
      <c r="E228" s="4" t="s">
        <v>35</v>
      </c>
      <c r="F228" s="4" t="s">
        <v>21</v>
      </c>
      <c r="G228" s="4" t="s">
        <v>408</v>
      </c>
      <c r="H228" s="5">
        <f>ROUND(10768,0)</f>
        <v>10768</v>
      </c>
      <c r="I228" s="6">
        <f>ROUND(137.1,2)</f>
        <v>137.1</v>
      </c>
      <c r="J228" s="6">
        <f t="shared" si="26"/>
        <v>9.09</v>
      </c>
      <c r="K228" s="5">
        <f>ROUND(13413522.57,0)</f>
        <v>13413523</v>
      </c>
      <c r="L228" s="7">
        <f>ROUND(0.00466177151555299,4)</f>
        <v>4.7000000000000002E-3</v>
      </c>
    </row>
    <row r="229" spans="1:12">
      <c r="A229" s="3" t="s">
        <v>472</v>
      </c>
      <c r="B229" s="4" t="s">
        <v>473</v>
      </c>
      <c r="C229" s="4" t="s">
        <v>445</v>
      </c>
      <c r="D229" s="4" t="s">
        <v>407</v>
      </c>
      <c r="E229" s="4" t="s">
        <v>35</v>
      </c>
      <c r="F229" s="4" t="s">
        <v>21</v>
      </c>
      <c r="G229" s="4" t="s">
        <v>408</v>
      </c>
      <c r="H229" s="5">
        <f>ROUND(41037,0)</f>
        <v>41037</v>
      </c>
      <c r="I229" s="6">
        <f>ROUND(35.93,2)</f>
        <v>35.93</v>
      </c>
      <c r="J229" s="6">
        <f t="shared" si="26"/>
        <v>9.09</v>
      </c>
      <c r="K229" s="5">
        <f>ROUND(13396864.48,0)</f>
        <v>13396864</v>
      </c>
      <c r="L229" s="7">
        <f>ROUND(0.0046559821183935,4)</f>
        <v>4.7000000000000002E-3</v>
      </c>
    </row>
    <row r="230" spans="1:12">
      <c r="A230" s="3" t="s">
        <v>474</v>
      </c>
      <c r="B230" s="4" t="s">
        <v>475</v>
      </c>
      <c r="C230" s="4" t="s">
        <v>445</v>
      </c>
      <c r="D230" s="4" t="s">
        <v>407</v>
      </c>
      <c r="E230" s="4" t="s">
        <v>35</v>
      </c>
      <c r="F230" s="4" t="s">
        <v>21</v>
      </c>
      <c r="G230" s="4" t="s">
        <v>408</v>
      </c>
      <c r="H230" s="5">
        <f>ROUND(6766,0)</f>
        <v>6766</v>
      </c>
      <c r="I230" s="6">
        <f>ROUND(217.32,2)</f>
        <v>217.32</v>
      </c>
      <c r="J230" s="6">
        <f t="shared" si="26"/>
        <v>9.09</v>
      </c>
      <c r="K230" s="5">
        <f>ROUND(13359863.85,0)</f>
        <v>13359864</v>
      </c>
      <c r="L230" s="7">
        <f>ROUND(0.00464312282046551,4)</f>
        <v>4.5999999999999999E-3</v>
      </c>
    </row>
    <row r="231" spans="1:12">
      <c r="A231" s="3" t="s">
        <v>476</v>
      </c>
      <c r="B231" s="4" t="s">
        <v>477</v>
      </c>
      <c r="C231" s="4" t="s">
        <v>406</v>
      </c>
      <c r="D231" s="4" t="s">
        <v>401</v>
      </c>
      <c r="E231" s="4" t="s">
        <v>402</v>
      </c>
      <c r="F231" s="4" t="s">
        <v>403</v>
      </c>
      <c r="G231" s="4" t="s">
        <v>408</v>
      </c>
      <c r="H231" s="5">
        <f>ROUND(162000,0)</f>
        <v>162000</v>
      </c>
      <c r="I231" s="6">
        <f>ROUND(272,2)</f>
        <v>272</v>
      </c>
      <c r="J231" s="6">
        <f>ROUND(0.29286371,2)</f>
        <v>0.28999999999999998</v>
      </c>
      <c r="K231" s="5">
        <f>ROUND(12904746.52,0)</f>
        <v>12904747</v>
      </c>
      <c r="L231" s="7">
        <f>ROUND(0.0044849501261448,4)</f>
        <v>4.4999999999999997E-3</v>
      </c>
    </row>
    <row r="232" spans="1:12">
      <c r="A232" s="3" t="s">
        <v>478</v>
      </c>
      <c r="B232" s="4" t="s">
        <v>479</v>
      </c>
      <c r="C232" s="4" t="s">
        <v>389</v>
      </c>
      <c r="D232" s="4" t="s">
        <v>407</v>
      </c>
      <c r="E232" s="4" t="s">
        <v>35</v>
      </c>
      <c r="F232" s="4" t="s">
        <v>21</v>
      </c>
      <c r="G232" s="4" t="s">
        <v>408</v>
      </c>
      <c r="H232" s="5">
        <f>ROUND(5529,0)</f>
        <v>5529</v>
      </c>
      <c r="I232" s="6">
        <f>ROUND(214.71,2)</f>
        <v>214.71</v>
      </c>
      <c r="J232" s="6">
        <f>ROUND(9.08595,2)</f>
        <v>9.09</v>
      </c>
      <c r="K232" s="5">
        <f>ROUND(10786218.27,0)</f>
        <v>10786218</v>
      </c>
      <c r="L232" s="7">
        <f>ROUND(0.00374867115101319,4)</f>
        <v>3.7000000000000002E-3</v>
      </c>
    </row>
    <row r="233" spans="1:12">
      <c r="A233" s="3" t="s">
        <v>480</v>
      </c>
      <c r="B233" s="4" t="s">
        <v>481</v>
      </c>
      <c r="C233" s="4" t="s">
        <v>400</v>
      </c>
      <c r="D233" s="4" t="s">
        <v>407</v>
      </c>
      <c r="E233" s="4" t="s">
        <v>35</v>
      </c>
      <c r="F233" s="4" t="s">
        <v>21</v>
      </c>
      <c r="G233" s="4" t="s">
        <v>408</v>
      </c>
      <c r="H233" s="5">
        <f>ROUND(16883,0)</f>
        <v>16883</v>
      </c>
      <c r="I233" s="6">
        <f>ROUND(69.08,2)</f>
        <v>69.08</v>
      </c>
      <c r="J233" s="6">
        <f>ROUND(9.08595,2)</f>
        <v>9.09</v>
      </c>
      <c r="K233" s="5">
        <f>ROUND(10596740.32,0)</f>
        <v>10596740</v>
      </c>
      <c r="L233" s="7">
        <f>ROUND(0.00368281947741099,4)</f>
        <v>3.7000000000000002E-3</v>
      </c>
    </row>
    <row r="234" spans="1:12">
      <c r="A234" s="3" t="s">
        <v>482</v>
      </c>
      <c r="B234" s="4" t="s">
        <v>483</v>
      </c>
      <c r="C234" s="4" t="s">
        <v>422</v>
      </c>
      <c r="D234" s="4" t="s">
        <v>407</v>
      </c>
      <c r="E234" s="4" t="s">
        <v>35</v>
      </c>
      <c r="F234" s="4" t="s">
        <v>21</v>
      </c>
      <c r="G234" s="4" t="s">
        <v>408</v>
      </c>
      <c r="H234" s="5">
        <f>ROUND(3945,0)</f>
        <v>3945</v>
      </c>
      <c r="I234" s="6">
        <f>ROUND(288.11,2)</f>
        <v>288.11</v>
      </c>
      <c r="J234" s="6">
        <f>ROUND(9.08595,2)</f>
        <v>9.09</v>
      </c>
      <c r="K234" s="5">
        <f>ROUND(10327035.8,0)</f>
        <v>10327036</v>
      </c>
      <c r="L234" s="7">
        <f>ROUND(0.00358908564706251,4)</f>
        <v>3.5999999999999999E-3</v>
      </c>
    </row>
    <row r="235" spans="1:12">
      <c r="A235" s="3" t="s">
        <v>484</v>
      </c>
      <c r="B235" s="4" t="s">
        <v>485</v>
      </c>
      <c r="C235" s="4" t="s">
        <v>400</v>
      </c>
      <c r="D235" s="4" t="s">
        <v>486</v>
      </c>
      <c r="E235" s="4" t="s">
        <v>30</v>
      </c>
      <c r="F235" s="4" t="s">
        <v>20</v>
      </c>
      <c r="G235" s="4" t="s">
        <v>408</v>
      </c>
      <c r="H235" s="5">
        <f>ROUND(145410,0)</f>
        <v>145410</v>
      </c>
      <c r="I235" s="6">
        <f>ROUND(624.6,2)</f>
        <v>624.6</v>
      </c>
      <c r="J235" s="6">
        <f>ROUND(11.19645077,2)</f>
        <v>11.2</v>
      </c>
      <c r="K235" s="5">
        <f>ROUND(10168962.11,0)</f>
        <v>10168962</v>
      </c>
      <c r="L235" s="7">
        <f>ROUND(0.00353414829398804,4)</f>
        <v>3.5000000000000001E-3</v>
      </c>
    </row>
    <row r="236" spans="1:12">
      <c r="A236" s="3" t="s">
        <v>487</v>
      </c>
      <c r="B236" s="4" t="s">
        <v>488</v>
      </c>
      <c r="C236" s="4" t="s">
        <v>389</v>
      </c>
      <c r="D236" s="4" t="s">
        <v>489</v>
      </c>
      <c r="E236" s="4" t="s">
        <v>490</v>
      </c>
      <c r="F236" s="4" t="s">
        <v>45</v>
      </c>
      <c r="G236" s="4" t="s">
        <v>408</v>
      </c>
      <c r="H236" s="5">
        <f>ROUND(16400,0)</f>
        <v>16400</v>
      </c>
      <c r="I236" s="6">
        <f>ROUND(7216,2)</f>
        <v>7216</v>
      </c>
      <c r="J236" s="6">
        <f>ROUND(8.407077,2)</f>
        <v>8.41</v>
      </c>
      <c r="K236" s="5">
        <f>ROUND(9949136.69,0)</f>
        <v>9949137</v>
      </c>
      <c r="L236" s="7">
        <f>ROUND(0.00345774957948165,4)</f>
        <v>3.5000000000000001E-3</v>
      </c>
    </row>
    <row r="237" spans="1:12">
      <c r="A237" s="3" t="s">
        <v>491</v>
      </c>
      <c r="B237" s="4" t="s">
        <v>492</v>
      </c>
      <c r="C237" s="4" t="s">
        <v>493</v>
      </c>
      <c r="D237" s="4" t="s">
        <v>407</v>
      </c>
      <c r="E237" s="4" t="s">
        <v>35</v>
      </c>
      <c r="F237" s="4" t="s">
        <v>21</v>
      </c>
      <c r="G237" s="4" t="s">
        <v>408</v>
      </c>
      <c r="H237" s="5">
        <f>ROUND(4689,0)</f>
        <v>4689</v>
      </c>
      <c r="I237" s="6">
        <f>ROUND(232.99,2)</f>
        <v>232.99</v>
      </c>
      <c r="J237" s="6">
        <f>ROUND(9.08595,2)</f>
        <v>9.09</v>
      </c>
      <c r="K237" s="5">
        <f>ROUND(9926310.51,0)</f>
        <v>9926311</v>
      </c>
      <c r="L237" s="7">
        <f>ROUND(0.00344981650782374,4)</f>
        <v>3.3999999999999998E-3</v>
      </c>
    </row>
    <row r="238" spans="1:12">
      <c r="A238" s="3" t="s">
        <v>494</v>
      </c>
      <c r="B238" s="4" t="s">
        <v>495</v>
      </c>
      <c r="C238" s="4" t="s">
        <v>445</v>
      </c>
      <c r="D238" s="4" t="s">
        <v>496</v>
      </c>
      <c r="E238" s="4" t="s">
        <v>497</v>
      </c>
      <c r="F238" s="4" t="s">
        <v>21</v>
      </c>
      <c r="G238" s="4" t="s">
        <v>408</v>
      </c>
      <c r="H238" s="5">
        <f>ROUND(10014,0)</f>
        <v>10014</v>
      </c>
      <c r="I238" s="6">
        <f>ROUND(108.62,2)</f>
        <v>108.62</v>
      </c>
      <c r="J238" s="6">
        <f>ROUND(9.08595,2)</f>
        <v>9.09</v>
      </c>
      <c r="K238" s="5">
        <f>ROUND(9882975.71,0)</f>
        <v>9882976</v>
      </c>
      <c r="L238" s="7">
        <f>ROUND(0.00343475581550985,4)</f>
        <v>3.3999999999999998E-3</v>
      </c>
    </row>
    <row r="239" spans="1:12">
      <c r="A239" s="3" t="s">
        <v>498</v>
      </c>
      <c r="B239" s="4" t="s">
        <v>499</v>
      </c>
      <c r="C239" s="4" t="s">
        <v>430</v>
      </c>
      <c r="D239" s="4" t="s">
        <v>486</v>
      </c>
      <c r="E239" s="4" t="s">
        <v>30</v>
      </c>
      <c r="F239" s="4" t="s">
        <v>20</v>
      </c>
      <c r="G239" s="4" t="s">
        <v>408</v>
      </c>
      <c r="H239" s="5">
        <f>ROUND(169769,0)</f>
        <v>169769</v>
      </c>
      <c r="I239" s="6">
        <f>ROUND(515.8,2)</f>
        <v>515.79999999999995</v>
      </c>
      <c r="J239" s="6">
        <f>ROUND(11.19645077,2)</f>
        <v>11.2</v>
      </c>
      <c r="K239" s="5">
        <f>ROUND(9804379.25,0)</f>
        <v>9804379</v>
      </c>
      <c r="L239" s="7">
        <f>ROUND(0.00340744019155356,4)</f>
        <v>3.3999999999999998E-3</v>
      </c>
    </row>
    <row r="240" spans="1:12">
      <c r="A240" s="3" t="s">
        <v>500</v>
      </c>
      <c r="B240" s="4" t="s">
        <v>501</v>
      </c>
      <c r="C240" s="4" t="s">
        <v>445</v>
      </c>
      <c r="D240" s="4" t="s">
        <v>407</v>
      </c>
      <c r="E240" s="4" t="s">
        <v>35</v>
      </c>
      <c r="F240" s="4" t="s">
        <v>21</v>
      </c>
      <c r="G240" s="4" t="s">
        <v>408</v>
      </c>
      <c r="H240" s="5">
        <f>ROUND(12705,0)</f>
        <v>12705</v>
      </c>
      <c r="I240" s="6">
        <f>ROUND(83.67,2)</f>
        <v>83.67</v>
      </c>
      <c r="J240" s="6">
        <f t="shared" ref="J240:J245" si="27">ROUND(9.08595,2)</f>
        <v>9.09</v>
      </c>
      <c r="K240" s="5">
        <f>ROUND(9658613.35,0)</f>
        <v>9658613</v>
      </c>
      <c r="L240" s="7">
        <f>ROUND(0.0033567803207394,4)</f>
        <v>3.3999999999999998E-3</v>
      </c>
    </row>
    <row r="241" spans="1:12">
      <c r="A241" s="3" t="s">
        <v>502</v>
      </c>
      <c r="B241" s="4" t="s">
        <v>503</v>
      </c>
      <c r="C241" s="4" t="s">
        <v>406</v>
      </c>
      <c r="D241" s="4" t="s">
        <v>407</v>
      </c>
      <c r="E241" s="4" t="s">
        <v>35</v>
      </c>
      <c r="F241" s="4" t="s">
        <v>21</v>
      </c>
      <c r="G241" s="4" t="s">
        <v>408</v>
      </c>
      <c r="H241" s="5">
        <f>ROUND(18944,0)</f>
        <v>18944</v>
      </c>
      <c r="I241" s="6">
        <f>ROUND(55.03,2)</f>
        <v>55.03</v>
      </c>
      <c r="J241" s="6">
        <f t="shared" si="27"/>
        <v>9.09</v>
      </c>
      <c r="K241" s="5">
        <f>ROUND(9471996.75,0)</f>
        <v>9471997</v>
      </c>
      <c r="L241" s="7">
        <f>ROUND(0.0032919230883704,4)</f>
        <v>3.3E-3</v>
      </c>
    </row>
    <row r="242" spans="1:12">
      <c r="A242" s="3" t="s">
        <v>504</v>
      </c>
      <c r="B242" s="4" t="s">
        <v>505</v>
      </c>
      <c r="C242" s="4" t="s">
        <v>406</v>
      </c>
      <c r="D242" s="4" t="s">
        <v>496</v>
      </c>
      <c r="E242" s="4" t="s">
        <v>497</v>
      </c>
      <c r="F242" s="4" t="s">
        <v>21</v>
      </c>
      <c r="G242" s="4" t="s">
        <v>408</v>
      </c>
      <c r="H242" s="5">
        <f>ROUND(5284,0)</f>
        <v>5284</v>
      </c>
      <c r="I242" s="6">
        <f>ROUND(192.35,2)</f>
        <v>192.35</v>
      </c>
      <c r="J242" s="6">
        <f t="shared" si="27"/>
        <v>9.09</v>
      </c>
      <c r="K242" s="5">
        <f>ROUND(9234754.24,0)</f>
        <v>9234754</v>
      </c>
      <c r="L242" s="7">
        <f>ROUND(0.00320947119181417,4)</f>
        <v>3.2000000000000002E-3</v>
      </c>
    </row>
    <row r="243" spans="1:12">
      <c r="A243" s="3" t="s">
        <v>506</v>
      </c>
      <c r="B243" s="4" t="s">
        <v>507</v>
      </c>
      <c r="C243" s="4" t="s">
        <v>445</v>
      </c>
      <c r="D243" s="4" t="s">
        <v>407</v>
      </c>
      <c r="E243" s="4" t="s">
        <v>35</v>
      </c>
      <c r="F243" s="4" t="s">
        <v>21</v>
      </c>
      <c r="G243" s="4" t="s">
        <v>408</v>
      </c>
      <c r="H243" s="5">
        <f>ROUND(5205,0)</f>
        <v>5205</v>
      </c>
      <c r="I243" s="6">
        <f>ROUND(193.51,2)</f>
        <v>193.51</v>
      </c>
      <c r="J243" s="6">
        <f t="shared" si="27"/>
        <v>9.09</v>
      </c>
      <c r="K243" s="5">
        <f>ROUND(9151546.47,0)</f>
        <v>9151546</v>
      </c>
      <c r="L243" s="7">
        <f>ROUND(0.00318055294084509,4)</f>
        <v>3.2000000000000002E-3</v>
      </c>
    </row>
    <row r="244" spans="1:12">
      <c r="A244" s="3" t="s">
        <v>508</v>
      </c>
      <c r="B244" s="4" t="s">
        <v>509</v>
      </c>
      <c r="C244" s="4" t="s">
        <v>406</v>
      </c>
      <c r="D244" s="4" t="s">
        <v>407</v>
      </c>
      <c r="E244" s="4" t="s">
        <v>35</v>
      </c>
      <c r="F244" s="4" t="s">
        <v>21</v>
      </c>
      <c r="G244" s="4" t="s">
        <v>408</v>
      </c>
      <c r="H244" s="5">
        <f>ROUND(6682,0)</f>
        <v>6682</v>
      </c>
      <c r="I244" s="6">
        <f>ROUND(145.42,2)</f>
        <v>145.41999999999999</v>
      </c>
      <c r="J244" s="6">
        <f t="shared" si="27"/>
        <v>9.09</v>
      </c>
      <c r="K244" s="5">
        <f>ROUND(8828785.27,0)</f>
        <v>8828785</v>
      </c>
      <c r="L244" s="7">
        <f>ROUND(0.0030683796500012,4)</f>
        <v>3.0999999999999999E-3</v>
      </c>
    </row>
    <row r="245" spans="1:12">
      <c r="A245" s="3" t="s">
        <v>510</v>
      </c>
      <c r="B245" s="4" t="s">
        <v>511</v>
      </c>
      <c r="C245" s="4" t="s">
        <v>389</v>
      </c>
      <c r="D245" s="4" t="s">
        <v>407</v>
      </c>
      <c r="E245" s="4" t="s">
        <v>35</v>
      </c>
      <c r="F245" s="4" t="s">
        <v>21</v>
      </c>
      <c r="G245" s="4" t="s">
        <v>408</v>
      </c>
      <c r="H245" s="5">
        <f>ROUND(10220,0)</f>
        <v>10220</v>
      </c>
      <c r="I245" s="6">
        <f>ROUND(93.92,2)</f>
        <v>93.92</v>
      </c>
      <c r="J245" s="6">
        <f t="shared" si="27"/>
        <v>9.09</v>
      </c>
      <c r="K245" s="5">
        <f>ROUND(8721261.77,0)</f>
        <v>8721262</v>
      </c>
      <c r="L245" s="7">
        <f>ROUND(0.00303101064518261,4)</f>
        <v>3.0000000000000001E-3</v>
      </c>
    </row>
    <row r="246" spans="1:12">
      <c r="A246" s="3" t="s">
        <v>512</v>
      </c>
      <c r="B246" s="4" t="s">
        <v>513</v>
      </c>
      <c r="C246" s="4" t="s">
        <v>400</v>
      </c>
      <c r="D246" s="4" t="s">
        <v>514</v>
      </c>
      <c r="E246" s="4" t="s">
        <v>515</v>
      </c>
      <c r="F246" s="4" t="s">
        <v>190</v>
      </c>
      <c r="G246" s="4" t="s">
        <v>408</v>
      </c>
      <c r="H246" s="5">
        <f>ROUND(11730,0)</f>
        <v>11730</v>
      </c>
      <c r="I246" s="6">
        <f>ROUND(107.47,2)</f>
        <v>107.47</v>
      </c>
      <c r="J246" s="6">
        <f>ROUND(6.86237833,2)</f>
        <v>6.86</v>
      </c>
      <c r="K246" s="5">
        <f>ROUND(8650872.64,0)</f>
        <v>8650873</v>
      </c>
      <c r="L246" s="7">
        <f>ROUND(0.00300654741864938,4)</f>
        <v>3.0000000000000001E-3</v>
      </c>
    </row>
    <row r="247" spans="1:12">
      <c r="A247" s="3" t="s">
        <v>516</v>
      </c>
      <c r="B247" s="4" t="s">
        <v>517</v>
      </c>
      <c r="C247" s="4" t="s">
        <v>430</v>
      </c>
      <c r="D247" s="4" t="s">
        <v>486</v>
      </c>
      <c r="E247" s="4" t="s">
        <v>30</v>
      </c>
      <c r="F247" s="4" t="s">
        <v>20</v>
      </c>
      <c r="G247" s="4" t="s">
        <v>408</v>
      </c>
      <c r="H247" s="5">
        <f>ROUND(31890,0)</f>
        <v>31890</v>
      </c>
      <c r="I247" s="6">
        <f>ROUND(2384,2)</f>
        <v>2384</v>
      </c>
      <c r="J247" s="6">
        <f>ROUND(11.19645077,2)</f>
        <v>11.2</v>
      </c>
      <c r="K247" s="5">
        <f>ROUND(8512186.79,0)</f>
        <v>8512187</v>
      </c>
      <c r="L247" s="7">
        <f>ROUND(0.00295834816735157,4)</f>
        <v>3.0000000000000001E-3</v>
      </c>
    </row>
    <row r="248" spans="1:12">
      <c r="A248" s="3" t="s">
        <v>518</v>
      </c>
      <c r="B248" s="4" t="s">
        <v>519</v>
      </c>
      <c r="C248" s="4" t="s">
        <v>430</v>
      </c>
      <c r="D248" s="4" t="s">
        <v>520</v>
      </c>
      <c r="E248" s="4" t="s">
        <v>521</v>
      </c>
      <c r="F248" s="4" t="s">
        <v>18</v>
      </c>
      <c r="G248" s="4" t="s">
        <v>408</v>
      </c>
      <c r="H248" s="5">
        <f>ROUND(17669,0)</f>
        <v>17669</v>
      </c>
      <c r="I248" s="6">
        <f>ROUND(47.885,2)</f>
        <v>47.89</v>
      </c>
      <c r="J248" s="6">
        <f>ROUND(9.9055,2)</f>
        <v>9.91</v>
      </c>
      <c r="K248" s="5">
        <f>ROUND(8380846.13,0)</f>
        <v>8380846</v>
      </c>
      <c r="L248" s="7">
        <f>ROUND(0.00291270168303497,4)</f>
        <v>2.8999999999999998E-3</v>
      </c>
    </row>
    <row r="249" spans="1:12">
      <c r="A249" s="3" t="s">
        <v>522</v>
      </c>
      <c r="B249" s="4" t="s">
        <v>523</v>
      </c>
      <c r="C249" s="4" t="s">
        <v>406</v>
      </c>
      <c r="D249" s="4" t="s">
        <v>407</v>
      </c>
      <c r="E249" s="4" t="s">
        <v>35</v>
      </c>
      <c r="F249" s="4" t="s">
        <v>21</v>
      </c>
      <c r="G249" s="4" t="s">
        <v>408</v>
      </c>
      <c r="H249" s="5">
        <f>ROUND(3314,0)</f>
        <v>3314</v>
      </c>
      <c r="I249" s="6">
        <f>ROUND(276.25,2)</f>
        <v>276.25</v>
      </c>
      <c r="J249" s="6">
        <f>ROUND(9.08595,2)</f>
        <v>9.09</v>
      </c>
      <c r="K249" s="5">
        <f>ROUND(8318119.08,0)</f>
        <v>8318119</v>
      </c>
      <c r="L249" s="7">
        <f>ROUND(0.00289090135628123,4)</f>
        <v>2.8999999999999998E-3</v>
      </c>
    </row>
    <row r="250" spans="1:12">
      <c r="A250" s="3" t="s">
        <v>524</v>
      </c>
      <c r="B250" s="4" t="s">
        <v>525</v>
      </c>
      <c r="C250" s="4" t="s">
        <v>422</v>
      </c>
      <c r="D250" s="4" t="s">
        <v>486</v>
      </c>
      <c r="E250" s="4" t="s">
        <v>30</v>
      </c>
      <c r="F250" s="4" t="s">
        <v>20</v>
      </c>
      <c r="G250" s="4" t="s">
        <v>408</v>
      </c>
      <c r="H250" s="5">
        <f>ROUND(22186,0)</f>
        <v>22186</v>
      </c>
      <c r="I250" s="6">
        <f>ROUND(3333,2)</f>
        <v>3333</v>
      </c>
      <c r="J250" s="6">
        <f>ROUND(11.19645077,2)</f>
        <v>11.2</v>
      </c>
      <c r="K250" s="5">
        <f>ROUND(8279320.54,0)</f>
        <v>8279321</v>
      </c>
      <c r="L250" s="7">
        <f>ROUND(0.00287741720790237,4)</f>
        <v>2.8999999999999998E-3</v>
      </c>
    </row>
    <row r="251" spans="1:12">
      <c r="A251" s="3" t="s">
        <v>526</v>
      </c>
      <c r="B251" s="4" t="s">
        <v>527</v>
      </c>
      <c r="C251" s="4" t="s">
        <v>445</v>
      </c>
      <c r="D251" s="4" t="s">
        <v>486</v>
      </c>
      <c r="E251" s="4" t="s">
        <v>30</v>
      </c>
      <c r="F251" s="4" t="s">
        <v>20</v>
      </c>
      <c r="G251" s="4" t="s">
        <v>408</v>
      </c>
      <c r="H251" s="5">
        <f>ROUND(41358,0)</f>
        <v>41358</v>
      </c>
      <c r="I251" s="6">
        <f>ROUND(1744.6,2)</f>
        <v>1744.6</v>
      </c>
      <c r="J251" s="6">
        <f>ROUND(11.19645077,2)</f>
        <v>11.2</v>
      </c>
      <c r="K251" s="5">
        <f>ROUND(8078593.82,0)</f>
        <v>8078594</v>
      </c>
      <c r="L251" s="7">
        <f>ROUND(0.00280765610668357,4)</f>
        <v>2.8E-3</v>
      </c>
    </row>
    <row r="252" spans="1:12">
      <c r="A252" s="3" t="s">
        <v>528</v>
      </c>
      <c r="B252" s="4" t="s">
        <v>529</v>
      </c>
      <c r="C252" s="4" t="s">
        <v>445</v>
      </c>
      <c r="D252" s="4" t="s">
        <v>486</v>
      </c>
      <c r="E252" s="4" t="s">
        <v>30</v>
      </c>
      <c r="F252" s="4" t="s">
        <v>20</v>
      </c>
      <c r="G252" s="4" t="s">
        <v>408</v>
      </c>
      <c r="H252" s="5">
        <f>ROUND(9897,0)</f>
        <v>9897</v>
      </c>
      <c r="I252" s="6">
        <f>ROUND(7261,2)</f>
        <v>7261</v>
      </c>
      <c r="J252" s="6">
        <f>ROUND(11.19645077,2)</f>
        <v>11.2</v>
      </c>
      <c r="K252" s="5">
        <f>ROUND(8046006.55,0)</f>
        <v>8046007</v>
      </c>
      <c r="L252" s="7">
        <f>ROUND(0.00279633063969585,4)</f>
        <v>2.8E-3</v>
      </c>
    </row>
    <row r="253" spans="1:12">
      <c r="A253" s="3" t="s">
        <v>530</v>
      </c>
      <c r="B253" s="4" t="s">
        <v>531</v>
      </c>
      <c r="C253" s="4" t="s">
        <v>445</v>
      </c>
      <c r="D253" s="4" t="s">
        <v>520</v>
      </c>
      <c r="E253" s="4" t="s">
        <v>521</v>
      </c>
      <c r="F253" s="4" t="s">
        <v>18</v>
      </c>
      <c r="G253" s="4" t="s">
        <v>408</v>
      </c>
      <c r="H253" s="5">
        <f>ROUND(9304,0)</f>
        <v>9304</v>
      </c>
      <c r="I253" s="6">
        <f>ROUND(85.06,2)</f>
        <v>85.06</v>
      </c>
      <c r="J253" s="6">
        <f>ROUND(9.9055,2)</f>
        <v>9.91</v>
      </c>
      <c r="K253" s="5">
        <f>ROUND(7839195.27,0)</f>
        <v>7839195</v>
      </c>
      <c r="L253" s="7">
        <f>ROUND(0.00272445489421827,4)</f>
        <v>2.7000000000000001E-3</v>
      </c>
    </row>
    <row r="254" spans="1:12">
      <c r="A254" s="3" t="s">
        <v>532</v>
      </c>
      <c r="B254" s="4" t="s">
        <v>533</v>
      </c>
      <c r="C254" s="4" t="s">
        <v>534</v>
      </c>
      <c r="D254" s="4" t="s">
        <v>407</v>
      </c>
      <c r="E254" s="4" t="s">
        <v>35</v>
      </c>
      <c r="F254" s="4" t="s">
        <v>21</v>
      </c>
      <c r="G254" s="4" t="s">
        <v>408</v>
      </c>
      <c r="H254" s="5">
        <f>ROUND(5318,0)</f>
        <v>5318</v>
      </c>
      <c r="I254" s="6">
        <f>ROUND(161.98,2)</f>
        <v>161.97999999999999</v>
      </c>
      <c r="J254" s="6">
        <f>ROUND(9.08595,2)</f>
        <v>9.09</v>
      </c>
      <c r="K254" s="5">
        <f>ROUND(7826724.92,0)</f>
        <v>7826725</v>
      </c>
      <c r="L254" s="7">
        <f>ROUND(0.00272012091542071,4)</f>
        <v>2.7000000000000001E-3</v>
      </c>
    </row>
    <row r="255" spans="1:12">
      <c r="A255" s="3" t="s">
        <v>535</v>
      </c>
      <c r="B255" s="4" t="s">
        <v>536</v>
      </c>
      <c r="C255" s="4" t="s">
        <v>430</v>
      </c>
      <c r="D255" s="4" t="s">
        <v>486</v>
      </c>
      <c r="E255" s="4" t="s">
        <v>30</v>
      </c>
      <c r="F255" s="4" t="s">
        <v>20</v>
      </c>
      <c r="G255" s="4" t="s">
        <v>408</v>
      </c>
      <c r="H255" s="5">
        <f>ROUND(29024,0)</f>
        <v>29024</v>
      </c>
      <c r="I255" s="6">
        <f>ROUND(2396,2)</f>
        <v>2396</v>
      </c>
      <c r="J255" s="6">
        <f>ROUND(11.19645077,2)</f>
        <v>11.2</v>
      </c>
      <c r="K255" s="5">
        <f>ROUND(7786180.26,0)</f>
        <v>7786180</v>
      </c>
      <c r="L255" s="7">
        <f>ROUND(0.00270602991582613,4)</f>
        <v>2.7000000000000001E-3</v>
      </c>
    </row>
    <row r="256" spans="1:12">
      <c r="A256" s="3" t="s">
        <v>537</v>
      </c>
      <c r="B256" s="4" t="s">
        <v>538</v>
      </c>
      <c r="C256" s="4" t="s">
        <v>445</v>
      </c>
      <c r="D256" s="4" t="s">
        <v>407</v>
      </c>
      <c r="E256" s="4" t="s">
        <v>35</v>
      </c>
      <c r="F256" s="4" t="s">
        <v>21</v>
      </c>
      <c r="G256" s="4" t="s">
        <v>408</v>
      </c>
      <c r="H256" s="5">
        <f>ROUND(11060,0)</f>
        <v>11060</v>
      </c>
      <c r="I256" s="6">
        <f>ROUND(75.72,2)</f>
        <v>75.72</v>
      </c>
      <c r="J256" s="6">
        <f>ROUND(9.08595,2)</f>
        <v>9.09</v>
      </c>
      <c r="K256" s="5">
        <f>ROUND(7609148.76,0)</f>
        <v>7609149</v>
      </c>
      <c r="L256" s="7">
        <f>ROUND(0.00264450391475155,4)</f>
        <v>2.5999999999999999E-3</v>
      </c>
    </row>
    <row r="257" spans="1:12">
      <c r="A257" s="3" t="s">
        <v>539</v>
      </c>
      <c r="B257" s="4" t="s">
        <v>540</v>
      </c>
      <c r="C257" s="4" t="s">
        <v>406</v>
      </c>
      <c r="D257" s="4" t="s">
        <v>541</v>
      </c>
      <c r="E257" s="4" t="s">
        <v>542</v>
      </c>
      <c r="F257" s="4" t="s">
        <v>18</v>
      </c>
      <c r="G257" s="4" t="s">
        <v>408</v>
      </c>
      <c r="H257" s="5">
        <f>ROUND(7116,0)</f>
        <v>7116</v>
      </c>
      <c r="I257" s="6">
        <f>ROUND(107.88,2)</f>
        <v>107.88</v>
      </c>
      <c r="J257" s="6">
        <f>ROUND(9.9055,2)</f>
        <v>9.91</v>
      </c>
      <c r="K257" s="5">
        <f>ROUND(7604195.6,0)</f>
        <v>7604196</v>
      </c>
      <c r="L257" s="7">
        <f>ROUND(0.0026427824802753,4)</f>
        <v>2.5999999999999999E-3</v>
      </c>
    </row>
    <row r="258" spans="1:12">
      <c r="A258" s="3" t="s">
        <v>543</v>
      </c>
      <c r="B258" s="4" t="s">
        <v>544</v>
      </c>
      <c r="C258" s="4" t="s">
        <v>545</v>
      </c>
      <c r="D258" s="4" t="s">
        <v>496</v>
      </c>
      <c r="E258" s="4" t="s">
        <v>497</v>
      </c>
      <c r="F258" s="4" t="s">
        <v>21</v>
      </c>
      <c r="G258" s="4" t="s">
        <v>408</v>
      </c>
      <c r="H258" s="5">
        <f>ROUND(4318,0)</f>
        <v>4318</v>
      </c>
      <c r="I258" s="6">
        <f>ROUND(193.72,2)</f>
        <v>193.72</v>
      </c>
      <c r="J258" s="6">
        <f>ROUND(9.08595,2)</f>
        <v>9.09</v>
      </c>
      <c r="K258" s="5">
        <f>ROUND(7600242.35,0)</f>
        <v>7600242</v>
      </c>
      <c r="L258" s="7">
        <f>ROUND(0.00264140855719524,4)</f>
        <v>2.5999999999999999E-3</v>
      </c>
    </row>
    <row r="259" spans="1:12">
      <c r="A259" s="3" t="s">
        <v>546</v>
      </c>
      <c r="B259" s="4" t="s">
        <v>547</v>
      </c>
      <c r="C259" s="4" t="s">
        <v>400</v>
      </c>
      <c r="D259" s="4" t="s">
        <v>541</v>
      </c>
      <c r="E259" s="4" t="s">
        <v>542</v>
      </c>
      <c r="F259" s="4" t="s">
        <v>18</v>
      </c>
      <c r="G259" s="4" t="s">
        <v>408</v>
      </c>
      <c r="H259" s="5">
        <f>ROUND(3562,0)</f>
        <v>3562</v>
      </c>
      <c r="I259" s="6">
        <f>ROUND(213.85,2)</f>
        <v>213.85</v>
      </c>
      <c r="J259" s="6">
        <f>ROUND(9.9055,2)</f>
        <v>9.91</v>
      </c>
      <c r="K259" s="5">
        <f>ROUND(7545353.17,0)</f>
        <v>7545353</v>
      </c>
      <c r="L259" s="7">
        <f>ROUND(0.00262233222474784,4)</f>
        <v>2.5999999999999999E-3</v>
      </c>
    </row>
    <row r="260" spans="1:12">
      <c r="A260" s="3" t="s">
        <v>548</v>
      </c>
      <c r="B260" s="4" t="s">
        <v>549</v>
      </c>
      <c r="C260" s="4" t="s">
        <v>445</v>
      </c>
      <c r="D260" s="4" t="s">
        <v>407</v>
      </c>
      <c r="E260" s="4" t="s">
        <v>35</v>
      </c>
      <c r="F260" s="4" t="s">
        <v>21</v>
      </c>
      <c r="G260" s="4" t="s">
        <v>408</v>
      </c>
      <c r="H260" s="5">
        <f>ROUND(2801,0)</f>
        <v>2801</v>
      </c>
      <c r="I260" s="6">
        <f>ROUND(291.27,2)</f>
        <v>291.27</v>
      </c>
      <c r="J260" s="6">
        <f>ROUND(9.08595,2)</f>
        <v>9.09</v>
      </c>
      <c r="K260" s="5">
        <f>ROUND(7412747.5,0)</f>
        <v>7412748</v>
      </c>
      <c r="L260" s="7">
        <f>ROUND(0.00257624609547189,4)</f>
        <v>2.5999999999999999E-3</v>
      </c>
    </row>
    <row r="261" spans="1:12">
      <c r="A261" s="3" t="s">
        <v>550</v>
      </c>
      <c r="B261" s="4" t="s">
        <v>551</v>
      </c>
      <c r="C261" s="4" t="s">
        <v>400</v>
      </c>
      <c r="D261" s="4" t="s">
        <v>552</v>
      </c>
      <c r="E261" s="4" t="s">
        <v>553</v>
      </c>
      <c r="F261" s="4" t="s">
        <v>26</v>
      </c>
      <c r="G261" s="4" t="s">
        <v>408</v>
      </c>
      <c r="H261" s="5">
        <f>ROUND(86200,0)</f>
        <v>86200</v>
      </c>
      <c r="I261" s="6">
        <f>ROUND(74.05,2)</f>
        <v>74.05</v>
      </c>
      <c r="J261" s="6">
        <f>ROUND(1.15901246,2)</f>
        <v>1.1599999999999999</v>
      </c>
      <c r="K261" s="5">
        <f>ROUND(7398104.02,0)</f>
        <v>7398104</v>
      </c>
      <c r="L261" s="7">
        <f>ROUND(0.00257115686126095,4)</f>
        <v>2.5999999999999999E-3</v>
      </c>
    </row>
    <row r="262" spans="1:12">
      <c r="A262" s="3" t="s">
        <v>554</v>
      </c>
      <c r="B262" s="4" t="s">
        <v>555</v>
      </c>
      <c r="C262" s="4" t="s">
        <v>389</v>
      </c>
      <c r="D262" s="4" t="s">
        <v>520</v>
      </c>
      <c r="E262" s="4" t="s">
        <v>521</v>
      </c>
      <c r="F262" s="4" t="s">
        <v>18</v>
      </c>
      <c r="G262" s="4" t="s">
        <v>408</v>
      </c>
      <c r="H262" s="5">
        <f>ROUND(2034,0)</f>
        <v>2034</v>
      </c>
      <c r="I262" s="6">
        <f>ROUND(364.65,2)</f>
        <v>364.65</v>
      </c>
      <c r="J262" s="6">
        <f>ROUND(9.9055,2)</f>
        <v>9.91</v>
      </c>
      <c r="K262" s="5">
        <f>ROUND(7346890.53,0)</f>
        <v>7346891</v>
      </c>
      <c r="L262" s="7">
        <f>ROUND(0.00255335798794872,4)</f>
        <v>2.5999999999999999E-3</v>
      </c>
    </row>
    <row r="263" spans="1:12">
      <c r="A263" s="3" t="s">
        <v>556</v>
      </c>
      <c r="B263" s="4" t="s">
        <v>557</v>
      </c>
      <c r="C263" s="4" t="s">
        <v>406</v>
      </c>
      <c r="D263" s="4" t="s">
        <v>407</v>
      </c>
      <c r="E263" s="4" t="s">
        <v>35</v>
      </c>
      <c r="F263" s="4" t="s">
        <v>21</v>
      </c>
      <c r="G263" s="4" t="s">
        <v>408</v>
      </c>
      <c r="H263" s="5">
        <f>ROUND(6249,0)</f>
        <v>6249</v>
      </c>
      <c r="I263" s="6">
        <f>ROUND(129.24,2)</f>
        <v>129.24</v>
      </c>
      <c r="J263" s="6">
        <f>ROUND(9.08595,2)</f>
        <v>9.09</v>
      </c>
      <c r="K263" s="5">
        <f>ROUND(7338001.84,0)</f>
        <v>7338002</v>
      </c>
      <c r="L263" s="7">
        <f>ROUND(0.00255026878884861,4)</f>
        <v>2.5999999999999999E-3</v>
      </c>
    </row>
    <row r="264" spans="1:12">
      <c r="A264" s="3" t="s">
        <v>558</v>
      </c>
      <c r="B264" s="4" t="s">
        <v>559</v>
      </c>
      <c r="C264" s="4" t="s">
        <v>406</v>
      </c>
      <c r="D264" s="4" t="s">
        <v>407</v>
      </c>
      <c r="E264" s="4" t="s">
        <v>35</v>
      </c>
      <c r="F264" s="4" t="s">
        <v>21</v>
      </c>
      <c r="G264" s="4" t="s">
        <v>408</v>
      </c>
      <c r="H264" s="5">
        <f>ROUND(5436,0)</f>
        <v>5436</v>
      </c>
      <c r="I264" s="6">
        <f>ROUND(148.44,2)</f>
        <v>148.44</v>
      </c>
      <c r="J264" s="6">
        <f>ROUND(9.08595,2)</f>
        <v>9.09</v>
      </c>
      <c r="K264" s="5">
        <f>ROUND(7331633.32,0)</f>
        <v>7331633</v>
      </c>
      <c r="L264" s="7">
        <f>ROUND(0.00254805545637183,4)</f>
        <v>2.5000000000000001E-3</v>
      </c>
    </row>
    <row r="265" spans="1:12">
      <c r="A265" s="3" t="s">
        <v>560</v>
      </c>
      <c r="B265" s="4" t="s">
        <v>561</v>
      </c>
      <c r="C265" s="4" t="s">
        <v>406</v>
      </c>
      <c r="D265" s="4" t="s">
        <v>407</v>
      </c>
      <c r="E265" s="4" t="s">
        <v>35</v>
      </c>
      <c r="F265" s="4" t="s">
        <v>21</v>
      </c>
      <c r="G265" s="4" t="s">
        <v>408</v>
      </c>
      <c r="H265" s="5">
        <f>ROUND(7589,0)</f>
        <v>7589</v>
      </c>
      <c r="I265" s="6">
        <f>ROUND(103.59,2)</f>
        <v>103.59</v>
      </c>
      <c r="J265" s="6">
        <f>ROUND(9.08595,2)</f>
        <v>9.09</v>
      </c>
      <c r="K265" s="5">
        <f>ROUND(7142869.71,0)</f>
        <v>7142870</v>
      </c>
      <c r="L265" s="7">
        <f>ROUND(0.00248245204640411,4)</f>
        <v>2.5000000000000001E-3</v>
      </c>
    </row>
    <row r="266" spans="1:12">
      <c r="A266" s="3" t="s">
        <v>562</v>
      </c>
      <c r="B266" s="4" t="s">
        <v>563</v>
      </c>
      <c r="C266" s="4" t="s">
        <v>415</v>
      </c>
      <c r="D266" s="4" t="s">
        <v>407</v>
      </c>
      <c r="E266" s="4" t="s">
        <v>35</v>
      </c>
      <c r="F266" s="4" t="s">
        <v>21</v>
      </c>
      <c r="G266" s="4" t="s">
        <v>408</v>
      </c>
      <c r="H266" s="5">
        <f>ROUND(2863,0)</f>
        <v>2863</v>
      </c>
      <c r="I266" s="6">
        <f>ROUND(267.62,2)</f>
        <v>267.62</v>
      </c>
      <c r="J266" s="6">
        <f>ROUND(9.08595,2)</f>
        <v>9.09</v>
      </c>
      <c r="K266" s="5">
        <f>ROUND(6961619.09,0)</f>
        <v>6961619</v>
      </c>
      <c r="L266" s="7">
        <f>ROUND(0.00241945972107847,4)</f>
        <v>2.3999999999999998E-3</v>
      </c>
    </row>
    <row r="267" spans="1:12">
      <c r="A267" s="3" t="s">
        <v>564</v>
      </c>
      <c r="B267" s="4" t="s">
        <v>565</v>
      </c>
      <c r="C267" s="4" t="s">
        <v>566</v>
      </c>
      <c r="D267" s="4" t="s">
        <v>407</v>
      </c>
      <c r="E267" s="4" t="s">
        <v>35</v>
      </c>
      <c r="F267" s="4" t="s">
        <v>21</v>
      </c>
      <c r="G267" s="4" t="s">
        <v>408</v>
      </c>
      <c r="H267" s="5">
        <f>ROUND(3455,0)</f>
        <v>3455</v>
      </c>
      <c r="I267" s="6">
        <f>ROUND(221.13,2)</f>
        <v>221.13</v>
      </c>
      <c r="J267" s="6">
        <f>ROUND(9.08595,2)</f>
        <v>9.09</v>
      </c>
      <c r="K267" s="5">
        <f>ROUND(6941703.51,0)</f>
        <v>6941704</v>
      </c>
      <c r="L267" s="7">
        <f>ROUND(0.00241253820713049,4)</f>
        <v>2.3999999999999998E-3</v>
      </c>
    </row>
    <row r="268" spans="1:12">
      <c r="A268" s="3" t="s">
        <v>567</v>
      </c>
      <c r="B268" s="4" t="s">
        <v>568</v>
      </c>
      <c r="C268" s="4" t="s">
        <v>445</v>
      </c>
      <c r="D268" s="4" t="s">
        <v>569</v>
      </c>
      <c r="E268" s="4" t="s">
        <v>570</v>
      </c>
      <c r="F268" s="4" t="s">
        <v>19</v>
      </c>
      <c r="G268" s="4" t="s">
        <v>408</v>
      </c>
      <c r="H268" s="5">
        <f>ROUND(14789,0)</f>
        <v>14789</v>
      </c>
      <c r="I268" s="6">
        <f>ROUND(352.15,2)</f>
        <v>352.15</v>
      </c>
      <c r="J268" s="6">
        <f>ROUND(1.3267035,2)</f>
        <v>1.33</v>
      </c>
      <c r="K268" s="5">
        <f>ROUND(6909400.65,0)</f>
        <v>6909401</v>
      </c>
      <c r="L268" s="7">
        <f>ROUND(0.00240131158475497,4)</f>
        <v>2.3999999999999998E-3</v>
      </c>
    </row>
    <row r="269" spans="1:12">
      <c r="A269" s="3" t="s">
        <v>571</v>
      </c>
      <c r="B269" s="4" t="s">
        <v>572</v>
      </c>
      <c r="C269" s="4" t="s">
        <v>445</v>
      </c>
      <c r="D269" s="4" t="s">
        <v>407</v>
      </c>
      <c r="E269" s="4" t="s">
        <v>35</v>
      </c>
      <c r="F269" s="4" t="s">
        <v>21</v>
      </c>
      <c r="G269" s="4" t="s">
        <v>408</v>
      </c>
      <c r="H269" s="5">
        <f>ROUND(6792,0)</f>
        <v>6792</v>
      </c>
      <c r="I269" s="6">
        <f>ROUND(111.83,2)</f>
        <v>111.83</v>
      </c>
      <c r="J269" s="6">
        <f>ROUND(9.08595,2)</f>
        <v>9.09</v>
      </c>
      <c r="K269" s="5">
        <f>ROUND(6901227.51,0)</f>
        <v>6901228</v>
      </c>
      <c r="L269" s="7">
        <f>ROUND(0.00239847106981598,4)</f>
        <v>2.3999999999999998E-3</v>
      </c>
    </row>
    <row r="270" spans="1:12">
      <c r="A270" s="3" t="s">
        <v>573</v>
      </c>
      <c r="B270" s="4" t="s">
        <v>574</v>
      </c>
      <c r="C270" s="4" t="s">
        <v>493</v>
      </c>
      <c r="D270" s="4" t="s">
        <v>407</v>
      </c>
      <c r="E270" s="4" t="s">
        <v>35</v>
      </c>
      <c r="F270" s="4" t="s">
        <v>21</v>
      </c>
      <c r="G270" s="4" t="s">
        <v>408</v>
      </c>
      <c r="H270" s="5">
        <f>ROUND(9333,0)</f>
        <v>9333</v>
      </c>
      <c r="I270" s="6">
        <f>ROUND(81.04,2)</f>
        <v>81.040000000000006</v>
      </c>
      <c r="J270" s="6">
        <f>ROUND(9.08595,2)</f>
        <v>9.09</v>
      </c>
      <c r="K270" s="5">
        <f>ROUND(6872124.85,0)</f>
        <v>6872125</v>
      </c>
      <c r="L270" s="7">
        <f>ROUND(0.00238835665350909,4)</f>
        <v>2.3999999999999998E-3</v>
      </c>
    </row>
    <row r="271" spans="1:12">
      <c r="A271" s="3" t="s">
        <v>575</v>
      </c>
      <c r="B271" s="4" t="s">
        <v>576</v>
      </c>
      <c r="C271" s="4" t="s">
        <v>422</v>
      </c>
      <c r="D271" s="4" t="s">
        <v>577</v>
      </c>
      <c r="E271" s="4" t="s">
        <v>578</v>
      </c>
      <c r="F271" s="4" t="s">
        <v>18</v>
      </c>
      <c r="G271" s="4" t="s">
        <v>408</v>
      </c>
      <c r="H271" s="5">
        <f>ROUND(12566,0)</f>
        <v>12566</v>
      </c>
      <c r="I271" s="6">
        <f>ROUND(55.15,2)</f>
        <v>55.15</v>
      </c>
      <c r="J271" s="6">
        <f>ROUND(9.9055,2)</f>
        <v>9.91</v>
      </c>
      <c r="K271" s="5">
        <f>ROUND(6864659.09,0)</f>
        <v>6864659</v>
      </c>
      <c r="L271" s="7">
        <f>ROUND(0.00238576198330756,4)</f>
        <v>2.3999999999999998E-3</v>
      </c>
    </row>
    <row r="272" spans="1:12">
      <c r="A272" s="3" t="s">
        <v>579</v>
      </c>
      <c r="B272" s="4" t="s">
        <v>580</v>
      </c>
      <c r="C272" s="4" t="s">
        <v>400</v>
      </c>
      <c r="D272" s="4" t="s">
        <v>514</v>
      </c>
      <c r="E272" s="4" t="s">
        <v>515</v>
      </c>
      <c r="F272" s="4" t="s">
        <v>190</v>
      </c>
      <c r="G272" s="4" t="s">
        <v>408</v>
      </c>
      <c r="H272" s="5">
        <f>ROUND(12813,0)</f>
        <v>12813</v>
      </c>
      <c r="I272" s="6">
        <f>ROUND(77.25,2)</f>
        <v>77.25</v>
      </c>
      <c r="J272" s="6">
        <f>ROUND(6.86237833,2)</f>
        <v>6.86</v>
      </c>
      <c r="K272" s="5">
        <f>ROUND(6792411.24,0)</f>
        <v>6792411</v>
      </c>
      <c r="L272" s="7">
        <f>ROUND(0.00236065277225339,4)</f>
        <v>2.3999999999999998E-3</v>
      </c>
    </row>
    <row r="273" spans="1:12">
      <c r="A273" s="3" t="s">
        <v>581</v>
      </c>
      <c r="B273" s="4" t="s">
        <v>582</v>
      </c>
      <c r="C273" s="4" t="s">
        <v>389</v>
      </c>
      <c r="D273" s="4" t="s">
        <v>407</v>
      </c>
      <c r="E273" s="4" t="s">
        <v>35</v>
      </c>
      <c r="F273" s="4" t="s">
        <v>21</v>
      </c>
      <c r="G273" s="4" t="s">
        <v>408</v>
      </c>
      <c r="H273" s="5">
        <f>ROUND(8356,0)</f>
        <v>8356</v>
      </c>
      <c r="I273" s="6">
        <f>ROUND(88.42,2)</f>
        <v>88.42</v>
      </c>
      <c r="J273" s="6">
        <f>ROUND(9.08595,2)</f>
        <v>9.09</v>
      </c>
      <c r="K273" s="5">
        <f>ROUND(6713040.76,0)</f>
        <v>6713041</v>
      </c>
      <c r="L273" s="7">
        <f>ROUND(0.00233306814331578,4)</f>
        <v>2.3E-3</v>
      </c>
    </row>
    <row r="274" spans="1:12">
      <c r="A274" s="3" t="s">
        <v>583</v>
      </c>
      <c r="B274" s="4" t="s">
        <v>584</v>
      </c>
      <c r="C274" s="4" t="s">
        <v>445</v>
      </c>
      <c r="D274" s="4" t="s">
        <v>407</v>
      </c>
      <c r="E274" s="4" t="s">
        <v>35</v>
      </c>
      <c r="F274" s="4" t="s">
        <v>21</v>
      </c>
      <c r="G274" s="4" t="s">
        <v>408</v>
      </c>
      <c r="H274" s="5">
        <f>ROUND(5112,0)</f>
        <v>5112</v>
      </c>
      <c r="I274" s="6">
        <f>ROUND(144.43,2)</f>
        <v>144.43</v>
      </c>
      <c r="J274" s="6">
        <f>ROUND(9.08595,2)</f>
        <v>9.09</v>
      </c>
      <c r="K274" s="5">
        <f>ROUND(6708394.57,0)</f>
        <v>6708395</v>
      </c>
      <c r="L274" s="7">
        <f>ROUND(0.00233145339401448,4)</f>
        <v>2.3E-3</v>
      </c>
    </row>
    <row r="275" spans="1:12">
      <c r="A275" s="3" t="s">
        <v>585</v>
      </c>
      <c r="B275" s="4" t="s">
        <v>586</v>
      </c>
      <c r="C275" s="4" t="s">
        <v>406</v>
      </c>
      <c r="D275" s="4" t="s">
        <v>407</v>
      </c>
      <c r="E275" s="4" t="s">
        <v>35</v>
      </c>
      <c r="F275" s="4" t="s">
        <v>21</v>
      </c>
      <c r="G275" s="4" t="s">
        <v>408</v>
      </c>
      <c r="H275" s="5">
        <f>ROUND(2654,0)</f>
        <v>2654</v>
      </c>
      <c r="I275" s="6">
        <f>ROUND(276.07,2)</f>
        <v>276.07</v>
      </c>
      <c r="J275" s="6">
        <f>ROUND(9.08595,2)</f>
        <v>9.09</v>
      </c>
      <c r="K275" s="5">
        <f>ROUND(6657182.71,0)</f>
        <v>6657183</v>
      </c>
      <c r="L275" s="7">
        <f>ROUND(0.00231365508719682,4)</f>
        <v>2.3E-3</v>
      </c>
    </row>
    <row r="276" spans="1:12">
      <c r="A276" s="3" t="s">
        <v>587</v>
      </c>
      <c r="B276" s="4" t="s">
        <v>588</v>
      </c>
      <c r="C276" s="4" t="s">
        <v>406</v>
      </c>
      <c r="D276" s="4" t="s">
        <v>577</v>
      </c>
      <c r="E276" s="4" t="s">
        <v>578</v>
      </c>
      <c r="F276" s="4" t="s">
        <v>18</v>
      </c>
      <c r="G276" s="4" t="s">
        <v>408</v>
      </c>
      <c r="H276" s="5">
        <f>ROUND(2873,0)</f>
        <v>2873</v>
      </c>
      <c r="I276" s="6">
        <f>ROUND(227.25,2)</f>
        <v>227.25</v>
      </c>
      <c r="J276" s="6">
        <f>ROUND(9.9055,2)</f>
        <v>9.91</v>
      </c>
      <c r="K276" s="5">
        <f>ROUND(6467194.47,0)</f>
        <v>6467194</v>
      </c>
      <c r="L276" s="7">
        <f>ROUND(0.00224762606604298,4)</f>
        <v>2.2000000000000001E-3</v>
      </c>
    </row>
    <row r="277" spans="1:12">
      <c r="A277" s="3" t="s">
        <v>589</v>
      </c>
      <c r="B277" s="4" t="s">
        <v>590</v>
      </c>
      <c r="C277" s="4" t="s">
        <v>534</v>
      </c>
      <c r="D277" s="4" t="s">
        <v>407</v>
      </c>
      <c r="E277" s="4" t="s">
        <v>35</v>
      </c>
      <c r="F277" s="4" t="s">
        <v>21</v>
      </c>
      <c r="G277" s="4" t="s">
        <v>408</v>
      </c>
      <c r="H277" s="5">
        <f>ROUND(5918,0)</f>
        <v>5918</v>
      </c>
      <c r="I277" s="6">
        <f>ROUND(119.82,2)</f>
        <v>119.82</v>
      </c>
      <c r="J277" s="6">
        <f>ROUND(9.08595,2)</f>
        <v>9.09</v>
      </c>
      <c r="K277" s="5">
        <f>ROUND(6442799.53,0)</f>
        <v>6442800</v>
      </c>
      <c r="L277" s="7">
        <f>ROUND(0.00223914778333818,4)</f>
        <v>2.2000000000000001E-3</v>
      </c>
    </row>
    <row r="278" spans="1:12">
      <c r="A278" s="3" t="s">
        <v>591</v>
      </c>
      <c r="B278" s="4" t="s">
        <v>592</v>
      </c>
      <c r="C278" s="4" t="s">
        <v>534</v>
      </c>
      <c r="D278" s="4" t="s">
        <v>407</v>
      </c>
      <c r="E278" s="4" t="s">
        <v>35</v>
      </c>
      <c r="F278" s="4" t="s">
        <v>21</v>
      </c>
      <c r="G278" s="4" t="s">
        <v>408</v>
      </c>
      <c r="H278" s="5">
        <f>ROUND(4259,0)</f>
        <v>4259</v>
      </c>
      <c r="I278" s="6">
        <f>ROUND(164.4,2)</f>
        <v>164.4</v>
      </c>
      <c r="J278" s="6">
        <f>ROUND(9.08595,2)</f>
        <v>9.09</v>
      </c>
      <c r="K278" s="5">
        <f>ROUND(6361796.84,0)</f>
        <v>6361797</v>
      </c>
      <c r="L278" s="7">
        <f>ROUND(0.00221099589177096,4)</f>
        <v>2.2000000000000001E-3</v>
      </c>
    </row>
    <row r="279" spans="1:12">
      <c r="A279" s="3" t="s">
        <v>593</v>
      </c>
      <c r="B279" s="4" t="s">
        <v>594</v>
      </c>
      <c r="C279" s="4" t="s">
        <v>400</v>
      </c>
      <c r="D279" s="4" t="s">
        <v>390</v>
      </c>
      <c r="E279" s="4" t="s">
        <v>391</v>
      </c>
      <c r="F279" s="4" t="s">
        <v>72</v>
      </c>
      <c r="G279" s="4" t="s">
        <v>408</v>
      </c>
      <c r="H279" s="5">
        <f>ROUND(12631,0)</f>
        <v>12631</v>
      </c>
      <c r="I279" s="6">
        <f>ROUND(80.83,2)</f>
        <v>80.83</v>
      </c>
      <c r="J279" s="6">
        <f>ROUND(6.12812423,2)</f>
        <v>6.13</v>
      </c>
      <c r="K279" s="5">
        <f>ROUND(6256592.57,0)</f>
        <v>6256593</v>
      </c>
      <c r="L279" s="7">
        <f>ROUND(0.00217443291835058,4)</f>
        <v>2.2000000000000001E-3</v>
      </c>
    </row>
    <row r="280" spans="1:12">
      <c r="A280" s="3" t="s">
        <v>595</v>
      </c>
      <c r="B280" s="4" t="s">
        <v>596</v>
      </c>
      <c r="C280" s="4" t="s">
        <v>406</v>
      </c>
      <c r="D280" s="4" t="s">
        <v>407</v>
      </c>
      <c r="E280" s="4" t="s">
        <v>35</v>
      </c>
      <c r="F280" s="4" t="s">
        <v>21</v>
      </c>
      <c r="G280" s="4" t="s">
        <v>408</v>
      </c>
      <c r="H280" s="5">
        <f>ROUND(3804,0)</f>
        <v>3804</v>
      </c>
      <c r="I280" s="6">
        <f>ROUND(174.07,2)</f>
        <v>174.07</v>
      </c>
      <c r="J280" s="6">
        <f>ROUND(9.08595,2)</f>
        <v>9.09</v>
      </c>
      <c r="K280" s="5">
        <f>ROUND(6016373.37,0)</f>
        <v>6016373</v>
      </c>
      <c r="L280" s="7">
        <f>ROUND(0.00209094649498901,4)</f>
        <v>2.0999999999999999E-3</v>
      </c>
    </row>
    <row r="281" spans="1:12">
      <c r="A281" s="3" t="s">
        <v>597</v>
      </c>
      <c r="B281" s="4" t="s">
        <v>598</v>
      </c>
      <c r="C281" s="4" t="s">
        <v>445</v>
      </c>
      <c r="D281" s="4" t="s">
        <v>407</v>
      </c>
      <c r="E281" s="4" t="s">
        <v>35</v>
      </c>
      <c r="F281" s="4" t="s">
        <v>21</v>
      </c>
      <c r="G281" s="4" t="s">
        <v>408</v>
      </c>
      <c r="H281" s="5">
        <f>ROUND(3043,0)</f>
        <v>3043</v>
      </c>
      <c r="I281" s="6">
        <f>ROUND(216.3,2)</f>
        <v>216.3</v>
      </c>
      <c r="J281" s="6">
        <f>ROUND(9.08595,2)</f>
        <v>9.09</v>
      </c>
      <c r="K281" s="5">
        <f>ROUND(5980380.47,0)</f>
        <v>5980380</v>
      </c>
      <c r="L281" s="7">
        <f>ROUND(0.00207843742624093,4)</f>
        <v>2.0999999999999999E-3</v>
      </c>
    </row>
    <row r="282" spans="1:12">
      <c r="A282" s="3" t="s">
        <v>599</v>
      </c>
      <c r="B282" s="4" t="s">
        <v>600</v>
      </c>
      <c r="C282" s="4" t="s">
        <v>534</v>
      </c>
      <c r="D282" s="4" t="s">
        <v>541</v>
      </c>
      <c r="E282" s="4" t="s">
        <v>542</v>
      </c>
      <c r="F282" s="4" t="s">
        <v>18</v>
      </c>
      <c r="G282" s="4" t="s">
        <v>408</v>
      </c>
      <c r="H282" s="5">
        <f>ROUND(6093,0)</f>
        <v>6093</v>
      </c>
      <c r="I282" s="6">
        <f>ROUND(98.25,2)</f>
        <v>98.25</v>
      </c>
      <c r="J282" s="6">
        <f>ROUND(9.9055,2)</f>
        <v>9.91</v>
      </c>
      <c r="K282" s="5">
        <f>ROUND(5929801.28,0)</f>
        <v>5929801</v>
      </c>
      <c r="L282" s="7">
        <f>ROUND(0.00206085899924748,4)</f>
        <v>2.0999999999999999E-3</v>
      </c>
    </row>
    <row r="283" spans="1:12">
      <c r="A283" s="3" t="s">
        <v>601</v>
      </c>
      <c r="B283" s="4" t="s">
        <v>602</v>
      </c>
      <c r="C283" s="4" t="s">
        <v>406</v>
      </c>
      <c r="D283" s="4" t="s">
        <v>407</v>
      </c>
      <c r="E283" s="4" t="s">
        <v>35</v>
      </c>
      <c r="F283" s="4" t="s">
        <v>21</v>
      </c>
      <c r="G283" s="4" t="s">
        <v>408</v>
      </c>
      <c r="H283" s="5">
        <f>ROUND(8518,0)</f>
        <v>8518</v>
      </c>
      <c r="I283" s="6">
        <f>ROUND(76.28,2)</f>
        <v>76.28</v>
      </c>
      <c r="J283" s="6">
        <f>ROUND(9.08595,2)</f>
        <v>9.09</v>
      </c>
      <c r="K283" s="5">
        <f>ROUND(5903623.63,0)</f>
        <v>5903624</v>
      </c>
      <c r="L283" s="7">
        <f>ROUND(0.00205176114874048,4)</f>
        <v>2.0999999999999999E-3</v>
      </c>
    </row>
    <row r="284" spans="1:12">
      <c r="A284" s="3" t="s">
        <v>603</v>
      </c>
      <c r="B284" s="4" t="s">
        <v>604</v>
      </c>
      <c r="C284" s="4" t="s">
        <v>400</v>
      </c>
      <c r="D284" s="4" t="s">
        <v>407</v>
      </c>
      <c r="E284" s="4" t="s">
        <v>35</v>
      </c>
      <c r="F284" s="4" t="s">
        <v>21</v>
      </c>
      <c r="G284" s="4" t="s">
        <v>408</v>
      </c>
      <c r="H284" s="5">
        <f>ROUND(5458,0)</f>
        <v>5458</v>
      </c>
      <c r="I284" s="6">
        <f>ROUND(118.28,2)</f>
        <v>118.28</v>
      </c>
      <c r="J284" s="6">
        <f>ROUND(9.08595,2)</f>
        <v>9.09</v>
      </c>
      <c r="K284" s="5">
        <f>ROUND(5865637.09,0)</f>
        <v>5865637</v>
      </c>
      <c r="L284" s="7">
        <f>ROUND(0.00203855920501374,4)</f>
        <v>2E-3</v>
      </c>
    </row>
    <row r="285" spans="1:12">
      <c r="A285" s="3" t="s">
        <v>605</v>
      </c>
      <c r="B285" s="4" t="s">
        <v>606</v>
      </c>
      <c r="C285" s="4" t="s">
        <v>445</v>
      </c>
      <c r="D285" s="4" t="s">
        <v>407</v>
      </c>
      <c r="E285" s="4" t="s">
        <v>35</v>
      </c>
      <c r="F285" s="4" t="s">
        <v>21</v>
      </c>
      <c r="G285" s="4" t="s">
        <v>408</v>
      </c>
      <c r="H285" s="5">
        <f>ROUND(10095,0)</f>
        <v>10095</v>
      </c>
      <c r="I285" s="6">
        <f>ROUND(63.38,2)</f>
        <v>63.38</v>
      </c>
      <c r="J285" s="6">
        <f>ROUND(9.08595,2)</f>
        <v>9.09</v>
      </c>
      <c r="K285" s="5">
        <f>ROUND(5813382.52,0)</f>
        <v>5813383</v>
      </c>
      <c r="L285" s="7">
        <f>ROUND(0.0020203985119734,4)</f>
        <v>2E-3</v>
      </c>
    </row>
    <row r="286" spans="1:12">
      <c r="A286" s="3" t="s">
        <v>607</v>
      </c>
      <c r="B286" s="4" t="s">
        <v>608</v>
      </c>
      <c r="C286" s="4" t="s">
        <v>422</v>
      </c>
      <c r="D286" s="4" t="s">
        <v>486</v>
      </c>
      <c r="E286" s="4" t="s">
        <v>30</v>
      </c>
      <c r="F286" s="4" t="s">
        <v>20</v>
      </c>
      <c r="G286" s="4" t="s">
        <v>408</v>
      </c>
      <c r="H286" s="5">
        <f>ROUND(10608,0)</f>
        <v>10608</v>
      </c>
      <c r="I286" s="6">
        <f>ROUND(4890,2)</f>
        <v>4890</v>
      </c>
      <c r="J286" s="6">
        <f>ROUND(11.19645077,2)</f>
        <v>11.2</v>
      </c>
      <c r="K286" s="5">
        <f>ROUND(5807948.34,0)</f>
        <v>5807948</v>
      </c>
      <c r="L286" s="7">
        <f>ROUND(0.00201850990251961,4)</f>
        <v>2E-3</v>
      </c>
    </row>
    <row r="287" spans="1:12">
      <c r="A287" s="3" t="s">
        <v>609</v>
      </c>
      <c r="B287" s="4" t="s">
        <v>610</v>
      </c>
      <c r="C287" s="4" t="s">
        <v>534</v>
      </c>
      <c r="D287" s="4" t="s">
        <v>407</v>
      </c>
      <c r="E287" s="4" t="s">
        <v>35</v>
      </c>
      <c r="F287" s="4" t="s">
        <v>21</v>
      </c>
      <c r="G287" s="4" t="s">
        <v>408</v>
      </c>
      <c r="H287" s="5">
        <f>ROUND(4995,0)</f>
        <v>4995</v>
      </c>
      <c r="I287" s="6">
        <f>ROUND(126.31,2)</f>
        <v>126.31</v>
      </c>
      <c r="J287" s="6">
        <f t="shared" ref="J287:J292" si="28">ROUND(9.08595,2)</f>
        <v>9.09</v>
      </c>
      <c r="K287" s="5">
        <f>ROUND(5732493.49,0)</f>
        <v>5732493</v>
      </c>
      <c r="L287" s="7">
        <f>ROUND(0.00199228612210662,4)</f>
        <v>2E-3</v>
      </c>
    </row>
    <row r="288" spans="1:12">
      <c r="A288" s="3" t="s">
        <v>611</v>
      </c>
      <c r="B288" s="4" t="s">
        <v>612</v>
      </c>
      <c r="C288" s="4" t="s">
        <v>534</v>
      </c>
      <c r="D288" s="4" t="s">
        <v>407</v>
      </c>
      <c r="E288" s="4" t="s">
        <v>35</v>
      </c>
      <c r="F288" s="4" t="s">
        <v>21</v>
      </c>
      <c r="G288" s="4" t="s">
        <v>408</v>
      </c>
      <c r="H288" s="5">
        <f>ROUND(70510,0)</f>
        <v>70510</v>
      </c>
      <c r="I288" s="6">
        <f>ROUND(8.94,2)</f>
        <v>8.94</v>
      </c>
      <c r="J288" s="6">
        <f t="shared" si="28"/>
        <v>9.09</v>
      </c>
      <c r="K288" s="5">
        <f>ROUND(5727413.99,0)</f>
        <v>5727414</v>
      </c>
      <c r="L288" s="7">
        <f>ROUND(0.0019905207790888,4)</f>
        <v>2E-3</v>
      </c>
    </row>
    <row r="289" spans="1:12">
      <c r="A289" s="3" t="s">
        <v>613</v>
      </c>
      <c r="B289" s="4" t="s">
        <v>614</v>
      </c>
      <c r="C289" s="4" t="s">
        <v>493</v>
      </c>
      <c r="D289" s="4" t="s">
        <v>407</v>
      </c>
      <c r="E289" s="4" t="s">
        <v>35</v>
      </c>
      <c r="F289" s="4" t="s">
        <v>21</v>
      </c>
      <c r="G289" s="4" t="s">
        <v>408</v>
      </c>
      <c r="H289" s="5">
        <f>ROUND(12968,0)</f>
        <v>12968</v>
      </c>
      <c r="I289" s="6">
        <f>ROUND(48.32,2)</f>
        <v>48.32</v>
      </c>
      <c r="J289" s="6">
        <f t="shared" si="28"/>
        <v>9.09</v>
      </c>
      <c r="K289" s="5">
        <f>ROUND(5693381.29,0)</f>
        <v>5693381</v>
      </c>
      <c r="L289" s="7">
        <f>ROUND(0.00197869296349231,4)</f>
        <v>2E-3</v>
      </c>
    </row>
    <row r="290" spans="1:12">
      <c r="A290" s="3" t="s">
        <v>615</v>
      </c>
      <c r="B290" s="4" t="s">
        <v>616</v>
      </c>
      <c r="C290" s="4" t="s">
        <v>406</v>
      </c>
      <c r="D290" s="4" t="s">
        <v>407</v>
      </c>
      <c r="E290" s="4" t="s">
        <v>35</v>
      </c>
      <c r="F290" s="4" t="s">
        <v>21</v>
      </c>
      <c r="G290" s="4" t="s">
        <v>408</v>
      </c>
      <c r="H290" s="5">
        <f>ROUND(4711,0)</f>
        <v>4711</v>
      </c>
      <c r="I290" s="6">
        <f>ROUND(132.76,2)</f>
        <v>132.76</v>
      </c>
      <c r="J290" s="6">
        <f t="shared" si="28"/>
        <v>9.09</v>
      </c>
      <c r="K290" s="5">
        <f>ROUND(5682647.15,0)</f>
        <v>5682647</v>
      </c>
      <c r="L290" s="7">
        <f>ROUND(0.00197496239176257,4)</f>
        <v>2E-3</v>
      </c>
    </row>
    <row r="291" spans="1:12">
      <c r="A291" s="3" t="s">
        <v>617</v>
      </c>
      <c r="B291" s="4" t="s">
        <v>618</v>
      </c>
      <c r="C291" s="4" t="s">
        <v>422</v>
      </c>
      <c r="D291" s="4" t="s">
        <v>407</v>
      </c>
      <c r="E291" s="4" t="s">
        <v>35</v>
      </c>
      <c r="F291" s="4" t="s">
        <v>21</v>
      </c>
      <c r="G291" s="4" t="s">
        <v>408</v>
      </c>
      <c r="H291" s="5">
        <f>ROUND(11206,0)</f>
        <v>11206</v>
      </c>
      <c r="I291" s="6">
        <f>ROUND(55.32,2)</f>
        <v>55.32</v>
      </c>
      <c r="J291" s="6">
        <f t="shared" si="28"/>
        <v>9.09</v>
      </c>
      <c r="K291" s="5">
        <f>ROUND(5632525.05,0)</f>
        <v>5632525</v>
      </c>
      <c r="L291" s="7">
        <f>ROUND(0.00195754282305044,4)</f>
        <v>2E-3</v>
      </c>
    </row>
    <row r="292" spans="1:12">
      <c r="A292" s="3" t="s">
        <v>619</v>
      </c>
      <c r="B292" s="4" t="s">
        <v>620</v>
      </c>
      <c r="C292" s="4" t="s">
        <v>445</v>
      </c>
      <c r="D292" s="4" t="s">
        <v>407</v>
      </c>
      <c r="E292" s="4" t="s">
        <v>35</v>
      </c>
      <c r="F292" s="4" t="s">
        <v>21</v>
      </c>
      <c r="G292" s="4" t="s">
        <v>408</v>
      </c>
      <c r="H292" s="5">
        <f>ROUND(11947,0)</f>
        <v>11947</v>
      </c>
      <c r="I292" s="6">
        <f>ROUND(50.71,2)</f>
        <v>50.71</v>
      </c>
      <c r="J292" s="6">
        <f t="shared" si="28"/>
        <v>9.09</v>
      </c>
      <c r="K292" s="5">
        <f>ROUND(5504562.62,0)</f>
        <v>5504563</v>
      </c>
      <c r="L292" s="7">
        <f>ROUND(0.00191307041782491,4)</f>
        <v>1.9E-3</v>
      </c>
    </row>
    <row r="293" spans="1:12">
      <c r="A293" s="3" t="s">
        <v>621</v>
      </c>
      <c r="B293" s="4" t="s">
        <v>622</v>
      </c>
      <c r="C293" s="4" t="s">
        <v>422</v>
      </c>
      <c r="D293" s="4" t="s">
        <v>623</v>
      </c>
      <c r="E293" s="4" t="s">
        <v>624</v>
      </c>
      <c r="F293" s="4" t="s">
        <v>18</v>
      </c>
      <c r="G293" s="4" t="s">
        <v>408</v>
      </c>
      <c r="H293" s="5">
        <f>ROUND(6311,0)</f>
        <v>6311</v>
      </c>
      <c r="I293" s="6">
        <f>ROUND(87.42,2)</f>
        <v>87.42</v>
      </c>
      <c r="J293" s="6">
        <f>ROUND(9.9055,2)</f>
        <v>9.91</v>
      </c>
      <c r="K293" s="5">
        <f>ROUND(5464939.83,0)</f>
        <v>5464940</v>
      </c>
      <c r="L293" s="7">
        <f>ROUND(0.00189929980739615,4)</f>
        <v>1.9E-3</v>
      </c>
    </row>
    <row r="294" spans="1:12">
      <c r="A294" s="3" t="s">
        <v>625</v>
      </c>
      <c r="B294" s="4" t="s">
        <v>626</v>
      </c>
      <c r="C294" s="4" t="s">
        <v>534</v>
      </c>
      <c r="D294" s="4" t="s">
        <v>514</v>
      </c>
      <c r="E294" s="4" t="s">
        <v>515</v>
      </c>
      <c r="F294" s="4" t="s">
        <v>190</v>
      </c>
      <c r="G294" s="4" t="s">
        <v>408</v>
      </c>
      <c r="H294" s="5">
        <f>ROUND(6669,0)</f>
        <v>6669</v>
      </c>
      <c r="I294" s="6">
        <f>ROUND(118.96,2)</f>
        <v>118.96</v>
      </c>
      <c r="J294" s="6">
        <f>ROUND(6.86237833,2)</f>
        <v>6.86</v>
      </c>
      <c r="K294" s="5">
        <f>ROUND(5444228.32,0)</f>
        <v>5444228</v>
      </c>
      <c r="L294" s="7">
        <f>ROUND(0.00189210167380684,4)</f>
        <v>1.9E-3</v>
      </c>
    </row>
    <row r="295" spans="1:12">
      <c r="A295" s="3" t="s">
        <v>627</v>
      </c>
      <c r="B295" s="4" t="s">
        <v>628</v>
      </c>
      <c r="C295" s="4" t="s">
        <v>400</v>
      </c>
      <c r="D295" s="4" t="s">
        <v>407</v>
      </c>
      <c r="E295" s="4" t="s">
        <v>35</v>
      </c>
      <c r="F295" s="4" t="s">
        <v>21</v>
      </c>
      <c r="G295" s="4" t="s">
        <v>408</v>
      </c>
      <c r="H295" s="5">
        <f>ROUND(10819,0)</f>
        <v>10819</v>
      </c>
      <c r="I295" s="6">
        <f>ROUND(55.34,2)</f>
        <v>55.34</v>
      </c>
      <c r="J295" s="6">
        <f t="shared" ref="J295:J303" si="29">ROUND(9.08595,2)</f>
        <v>9.09</v>
      </c>
      <c r="K295" s="5">
        <f>ROUND(5439971.42,0)</f>
        <v>5439971</v>
      </c>
      <c r="L295" s="7">
        <f>ROUND(0.00189062221939351,4)</f>
        <v>1.9E-3</v>
      </c>
    </row>
    <row r="296" spans="1:12">
      <c r="A296" s="3" t="s">
        <v>629</v>
      </c>
      <c r="B296" s="4" t="s">
        <v>630</v>
      </c>
      <c r="C296" s="4" t="s">
        <v>389</v>
      </c>
      <c r="D296" s="4" t="s">
        <v>407</v>
      </c>
      <c r="E296" s="4" t="s">
        <v>35</v>
      </c>
      <c r="F296" s="4" t="s">
        <v>21</v>
      </c>
      <c r="G296" s="4" t="s">
        <v>408</v>
      </c>
      <c r="H296" s="5">
        <f>ROUND(301,0)</f>
        <v>301</v>
      </c>
      <c r="I296" s="6">
        <f>ROUND(1962.61,2)</f>
        <v>1962.61</v>
      </c>
      <c r="J296" s="6">
        <f t="shared" si="29"/>
        <v>9.09</v>
      </c>
      <c r="K296" s="5">
        <f>ROUND(5367485.08,0)</f>
        <v>5367485</v>
      </c>
      <c r="L296" s="7">
        <f>ROUND(0.00186543012288677,4)</f>
        <v>1.9E-3</v>
      </c>
    </row>
    <row r="297" spans="1:12">
      <c r="A297" s="3" t="s">
        <v>631</v>
      </c>
      <c r="B297" s="4" t="s">
        <v>632</v>
      </c>
      <c r="C297" s="4" t="s">
        <v>400</v>
      </c>
      <c r="D297" s="4" t="s">
        <v>423</v>
      </c>
      <c r="E297" s="4" t="s">
        <v>25</v>
      </c>
      <c r="F297" s="4" t="s">
        <v>21</v>
      </c>
      <c r="G297" s="4" t="s">
        <v>408</v>
      </c>
      <c r="H297" s="5">
        <f>ROUND(3579,0)</f>
        <v>3579</v>
      </c>
      <c r="I297" s="6">
        <f>ROUND(161.44,2)</f>
        <v>161.44</v>
      </c>
      <c r="J297" s="6">
        <f t="shared" si="29"/>
        <v>9.09</v>
      </c>
      <c r="K297" s="5">
        <f>ROUND(5249805.21,0)</f>
        <v>5249805</v>
      </c>
      <c r="L297" s="7">
        <f>ROUND(0.00182453134606979,4)</f>
        <v>1.8E-3</v>
      </c>
    </row>
    <row r="298" spans="1:12">
      <c r="A298" s="3" t="s">
        <v>633</v>
      </c>
      <c r="B298" s="4" t="s">
        <v>634</v>
      </c>
      <c r="C298" s="4" t="s">
        <v>534</v>
      </c>
      <c r="D298" s="4" t="s">
        <v>407</v>
      </c>
      <c r="E298" s="4" t="s">
        <v>35</v>
      </c>
      <c r="F298" s="4" t="s">
        <v>21</v>
      </c>
      <c r="G298" s="4" t="s">
        <v>408</v>
      </c>
      <c r="H298" s="5">
        <f>ROUND(1105,0)</f>
        <v>1105</v>
      </c>
      <c r="I298" s="6">
        <f>ROUND(520.67,2)</f>
        <v>520.66999999999996</v>
      </c>
      <c r="J298" s="6">
        <f t="shared" si="29"/>
        <v>9.09</v>
      </c>
      <c r="K298" s="5">
        <f>ROUND(5227513.65,0)</f>
        <v>5227514</v>
      </c>
      <c r="L298" s="7">
        <f>ROUND(0.0018167840776768,4)</f>
        <v>1.8E-3</v>
      </c>
    </row>
    <row r="299" spans="1:12">
      <c r="A299" s="3" t="s">
        <v>635</v>
      </c>
      <c r="B299" s="4" t="s">
        <v>636</v>
      </c>
      <c r="C299" s="4" t="s">
        <v>389</v>
      </c>
      <c r="D299" s="4" t="s">
        <v>407</v>
      </c>
      <c r="E299" s="4" t="s">
        <v>35</v>
      </c>
      <c r="F299" s="4" t="s">
        <v>21</v>
      </c>
      <c r="G299" s="4" t="s">
        <v>408</v>
      </c>
      <c r="H299" s="5">
        <f>ROUND(5173,0)</f>
        <v>5173</v>
      </c>
      <c r="I299" s="6">
        <f>ROUND(109.96,2)</f>
        <v>109.96</v>
      </c>
      <c r="J299" s="6">
        <f t="shared" si="29"/>
        <v>9.09</v>
      </c>
      <c r="K299" s="5">
        <f>ROUND(5168298.06,0)</f>
        <v>5168298</v>
      </c>
      <c r="L299" s="7">
        <f>ROUND(0.00179620413312472,4)</f>
        <v>1.8E-3</v>
      </c>
    </row>
    <row r="300" spans="1:12">
      <c r="A300" s="3" t="s">
        <v>637</v>
      </c>
      <c r="B300" s="4" t="s">
        <v>638</v>
      </c>
      <c r="C300" s="4" t="s">
        <v>445</v>
      </c>
      <c r="D300" s="4" t="s">
        <v>407</v>
      </c>
      <c r="E300" s="4" t="s">
        <v>35</v>
      </c>
      <c r="F300" s="4" t="s">
        <v>21</v>
      </c>
      <c r="G300" s="4" t="s">
        <v>408</v>
      </c>
      <c r="H300" s="5">
        <f>ROUND(8825,0)</f>
        <v>8825</v>
      </c>
      <c r="I300" s="6">
        <f>ROUND(63.07,2)</f>
        <v>63.07</v>
      </c>
      <c r="J300" s="6">
        <f t="shared" si="29"/>
        <v>9.09</v>
      </c>
      <c r="K300" s="5">
        <f>ROUND(5057173.9,0)</f>
        <v>5057174</v>
      </c>
      <c r="L300" s="7">
        <f>ROUND(0.00175758374529786,4)</f>
        <v>1.8E-3</v>
      </c>
    </row>
    <row r="301" spans="1:12">
      <c r="A301" s="3" t="s">
        <v>639</v>
      </c>
      <c r="B301" s="4" t="s">
        <v>640</v>
      </c>
      <c r="C301" s="4" t="s">
        <v>493</v>
      </c>
      <c r="D301" s="4" t="s">
        <v>407</v>
      </c>
      <c r="E301" s="4" t="s">
        <v>35</v>
      </c>
      <c r="F301" s="4" t="s">
        <v>21</v>
      </c>
      <c r="G301" s="4" t="s">
        <v>408</v>
      </c>
      <c r="H301" s="5">
        <f>ROUND(5873,0)</f>
        <v>5873</v>
      </c>
      <c r="I301" s="6">
        <f>ROUND(94.47,2)</f>
        <v>94.47</v>
      </c>
      <c r="J301" s="6">
        <f t="shared" si="29"/>
        <v>9.09</v>
      </c>
      <c r="K301" s="5">
        <f>ROUND(5041087.77,0)</f>
        <v>5041088</v>
      </c>
      <c r="L301" s="7">
        <f>ROUND(0.00175199312864678,4)</f>
        <v>1.8E-3</v>
      </c>
    </row>
    <row r="302" spans="1:12">
      <c r="A302" s="3" t="s">
        <v>641</v>
      </c>
      <c r="B302" s="4" t="s">
        <v>642</v>
      </c>
      <c r="C302" s="4" t="s">
        <v>400</v>
      </c>
      <c r="D302" s="4" t="s">
        <v>407</v>
      </c>
      <c r="E302" s="4" t="s">
        <v>35</v>
      </c>
      <c r="F302" s="4" t="s">
        <v>21</v>
      </c>
      <c r="G302" s="4" t="s">
        <v>408</v>
      </c>
      <c r="H302" s="5">
        <f>ROUND(2620,0)</f>
        <v>2620</v>
      </c>
      <c r="I302" s="6">
        <f>ROUND(211.34,2)</f>
        <v>211.34</v>
      </c>
      <c r="J302" s="6">
        <f t="shared" si="29"/>
        <v>9.09</v>
      </c>
      <c r="K302" s="5">
        <f>ROUND(5030988.64,0)</f>
        <v>5030989</v>
      </c>
      <c r="L302" s="7">
        <f>ROUND(0.0017484832499911,4)</f>
        <v>1.6999999999999999E-3</v>
      </c>
    </row>
    <row r="303" spans="1:12">
      <c r="A303" s="3" t="s">
        <v>643</v>
      </c>
      <c r="B303" s="4" t="s">
        <v>644</v>
      </c>
      <c r="C303" s="4" t="s">
        <v>422</v>
      </c>
      <c r="D303" s="4" t="s">
        <v>407</v>
      </c>
      <c r="E303" s="4" t="s">
        <v>35</v>
      </c>
      <c r="F303" s="4" t="s">
        <v>21</v>
      </c>
      <c r="G303" s="4" t="s">
        <v>408</v>
      </c>
      <c r="H303" s="5">
        <f>ROUND(7492,0)</f>
        <v>7492</v>
      </c>
      <c r="I303" s="6">
        <f>ROUND(73.51,2)</f>
        <v>73.510000000000005</v>
      </c>
      <c r="J303" s="6">
        <f t="shared" si="29"/>
        <v>9.09</v>
      </c>
      <c r="K303" s="5">
        <f>ROUND(5003968.12,0)</f>
        <v>5003968</v>
      </c>
      <c r="L303" s="7">
        <f>ROUND(0.0017390924661896,4)</f>
        <v>1.6999999999999999E-3</v>
      </c>
    </row>
    <row r="304" spans="1:12">
      <c r="A304" s="3" t="s">
        <v>645</v>
      </c>
      <c r="B304" s="4" t="s">
        <v>646</v>
      </c>
      <c r="C304" s="4" t="s">
        <v>400</v>
      </c>
      <c r="D304" s="4" t="s">
        <v>423</v>
      </c>
      <c r="E304" s="4" t="s">
        <v>25</v>
      </c>
      <c r="F304" s="4" t="s">
        <v>16</v>
      </c>
      <c r="G304" s="4" t="s">
        <v>408</v>
      </c>
      <c r="H304" s="5">
        <f>ROUND(1428,0)</f>
        <v>1428</v>
      </c>
      <c r="I304" s="6">
        <f>ROUND(382,2)</f>
        <v>382</v>
      </c>
      <c r="J304" s="6">
        <f>ROUND(9.11185723,2)</f>
        <v>9.11</v>
      </c>
      <c r="K304" s="5">
        <f>ROUND(4970481.67,0)</f>
        <v>4970482</v>
      </c>
      <c r="L304" s="7">
        <f>ROUND(0.00172745449577935,4)</f>
        <v>1.6999999999999999E-3</v>
      </c>
    </row>
    <row r="305" spans="1:12">
      <c r="A305" s="3" t="s">
        <v>647</v>
      </c>
      <c r="B305" s="4" t="s">
        <v>648</v>
      </c>
      <c r="C305" s="4" t="s">
        <v>406</v>
      </c>
      <c r="D305" s="4" t="s">
        <v>407</v>
      </c>
      <c r="E305" s="4" t="s">
        <v>35</v>
      </c>
      <c r="F305" s="4" t="s">
        <v>21</v>
      </c>
      <c r="G305" s="4" t="s">
        <v>408</v>
      </c>
      <c r="H305" s="5">
        <f>ROUND(1995,0)</f>
        <v>1995</v>
      </c>
      <c r="I305" s="6">
        <f>ROUND(265.94,2)</f>
        <v>265.94</v>
      </c>
      <c r="J305" s="6">
        <f>ROUND(9.08595,2)</f>
        <v>9.09</v>
      </c>
      <c r="K305" s="5">
        <f>ROUND(4820553.5,0)</f>
        <v>4820554</v>
      </c>
      <c r="L305" s="7">
        <f>ROUND(0.00167534805851519,4)</f>
        <v>1.6999999999999999E-3</v>
      </c>
    </row>
    <row r="306" spans="1:12">
      <c r="A306" s="3" t="s">
        <v>649</v>
      </c>
      <c r="B306" s="4" t="s">
        <v>650</v>
      </c>
      <c r="C306" s="4" t="s">
        <v>400</v>
      </c>
      <c r="D306" s="4" t="s">
        <v>514</v>
      </c>
      <c r="E306" s="4" t="s">
        <v>515</v>
      </c>
      <c r="F306" s="4" t="s">
        <v>190</v>
      </c>
      <c r="G306" s="4" t="s">
        <v>408</v>
      </c>
      <c r="H306" s="5">
        <f>ROUND(9182,0)</f>
        <v>9182</v>
      </c>
      <c r="I306" s="6">
        <f>ROUND(75.25,2)</f>
        <v>75.25</v>
      </c>
      <c r="J306" s="6">
        <f>ROUND(6.86237833,2)</f>
        <v>6.86</v>
      </c>
      <c r="K306" s="5">
        <f>ROUND(4741529.43,0)</f>
        <v>4741529</v>
      </c>
      <c r="L306" s="7">
        <f>ROUND(0.00164788382183564,4)</f>
        <v>1.6000000000000001E-3</v>
      </c>
    </row>
    <row r="307" spans="1:12">
      <c r="A307" s="3" t="s">
        <v>651</v>
      </c>
      <c r="B307" s="4" t="s">
        <v>652</v>
      </c>
      <c r="C307" s="4" t="s">
        <v>445</v>
      </c>
      <c r="D307" s="4" t="s">
        <v>407</v>
      </c>
      <c r="E307" s="4" t="s">
        <v>35</v>
      </c>
      <c r="F307" s="4" t="s">
        <v>21</v>
      </c>
      <c r="G307" s="4" t="s">
        <v>408</v>
      </c>
      <c r="H307" s="5">
        <f>ROUND(2172,0)</f>
        <v>2172</v>
      </c>
      <c r="I307" s="6">
        <f>ROUND(240.1,2)</f>
        <v>240.1</v>
      </c>
      <c r="J307" s="6">
        <f>ROUND(9.08595,2)</f>
        <v>9.09</v>
      </c>
      <c r="K307" s="5">
        <f>ROUND(4738297.48,0)</f>
        <v>4738297</v>
      </c>
      <c r="L307" s="7">
        <f>ROUND(0.00164676058128707,4)</f>
        <v>1.6000000000000001E-3</v>
      </c>
    </row>
    <row r="308" spans="1:12">
      <c r="A308" s="3" t="s">
        <v>653</v>
      </c>
      <c r="B308" s="4" t="s">
        <v>654</v>
      </c>
      <c r="C308" s="4" t="s">
        <v>400</v>
      </c>
      <c r="D308" s="4" t="s">
        <v>655</v>
      </c>
      <c r="E308" s="4" t="s">
        <v>656</v>
      </c>
      <c r="F308" s="4" t="s">
        <v>26</v>
      </c>
      <c r="G308" s="4" t="s">
        <v>408</v>
      </c>
      <c r="H308" s="5">
        <f>ROUND(675000,0)</f>
        <v>675000</v>
      </c>
      <c r="I308" s="6">
        <f>ROUND(5.98,2)</f>
        <v>5.98</v>
      </c>
      <c r="J308" s="6">
        <f>ROUND(1.15901246,2)</f>
        <v>1.1599999999999999</v>
      </c>
      <c r="K308" s="5">
        <f>ROUND(4678353.79,0)</f>
        <v>4678354</v>
      </c>
      <c r="L308" s="7">
        <f>ROUND(0.0016259275909133,4)</f>
        <v>1.6000000000000001E-3</v>
      </c>
    </row>
    <row r="309" spans="1:12">
      <c r="A309" s="3" t="s">
        <v>657</v>
      </c>
      <c r="B309" s="4" t="s">
        <v>658</v>
      </c>
      <c r="C309" s="4" t="s">
        <v>422</v>
      </c>
      <c r="D309" s="4" t="s">
        <v>520</v>
      </c>
      <c r="E309" s="4" t="s">
        <v>521</v>
      </c>
      <c r="F309" s="4" t="s">
        <v>18</v>
      </c>
      <c r="G309" s="4" t="s">
        <v>408</v>
      </c>
      <c r="H309" s="5">
        <f>ROUND(1816,0)</f>
        <v>1816</v>
      </c>
      <c r="I309" s="6">
        <f>ROUND(256.9,2)</f>
        <v>256.89999999999998</v>
      </c>
      <c r="J309" s="6">
        <f>ROUND(9.9055,2)</f>
        <v>9.91</v>
      </c>
      <c r="K309" s="5">
        <f>ROUND(4621216.88,0)</f>
        <v>4621217</v>
      </c>
      <c r="L309" s="7">
        <f>ROUND(0.00160607007636896,4)</f>
        <v>1.6000000000000001E-3</v>
      </c>
    </row>
    <row r="310" spans="1:12">
      <c r="A310" s="3" t="s">
        <v>659</v>
      </c>
      <c r="B310" s="4" t="s">
        <v>660</v>
      </c>
      <c r="C310" s="4" t="s">
        <v>389</v>
      </c>
      <c r="D310" s="4" t="s">
        <v>407</v>
      </c>
      <c r="E310" s="4" t="s">
        <v>35</v>
      </c>
      <c r="F310" s="4" t="s">
        <v>21</v>
      </c>
      <c r="G310" s="4" t="s">
        <v>408</v>
      </c>
      <c r="H310" s="5">
        <f>ROUND(4746,0)</f>
        <v>4746</v>
      </c>
      <c r="I310" s="6">
        <f>ROUND(106.91,2)</f>
        <v>106.91</v>
      </c>
      <c r="J310" s="6">
        <f>ROUND(9.08595,2)</f>
        <v>9.09</v>
      </c>
      <c r="K310" s="5">
        <f>ROUND(4610164.33,0)</f>
        <v>4610164</v>
      </c>
      <c r="L310" s="7">
        <f>ROUND(0.00160222884357605,4)</f>
        <v>1.6000000000000001E-3</v>
      </c>
    </row>
    <row r="311" spans="1:12">
      <c r="A311" s="3" t="s">
        <v>661</v>
      </c>
      <c r="B311" s="4" t="s">
        <v>662</v>
      </c>
      <c r="C311" s="4" t="s">
        <v>534</v>
      </c>
      <c r="D311" s="4" t="s">
        <v>407</v>
      </c>
      <c r="E311" s="4" t="s">
        <v>35</v>
      </c>
      <c r="F311" s="4" t="s">
        <v>21</v>
      </c>
      <c r="G311" s="4" t="s">
        <v>408</v>
      </c>
      <c r="H311" s="5">
        <f>ROUND(4394,0)</f>
        <v>4394</v>
      </c>
      <c r="I311" s="6">
        <f>ROUND(115,2)</f>
        <v>115</v>
      </c>
      <c r="J311" s="6">
        <f>ROUND(9.08595,2)</f>
        <v>9.09</v>
      </c>
      <c r="K311" s="5">
        <f>ROUND(4591221.39,0)</f>
        <v>4591221</v>
      </c>
      <c r="L311" s="7">
        <f>ROUND(0.00159564536353552,4)</f>
        <v>1.6000000000000001E-3</v>
      </c>
    </row>
    <row r="312" spans="1:12">
      <c r="A312" s="3" t="s">
        <v>663</v>
      </c>
      <c r="B312" s="4" t="s">
        <v>664</v>
      </c>
      <c r="C312" s="4" t="s">
        <v>415</v>
      </c>
      <c r="D312" s="4" t="s">
        <v>486</v>
      </c>
      <c r="E312" s="4" t="s">
        <v>30</v>
      </c>
      <c r="F312" s="4" t="s">
        <v>20</v>
      </c>
      <c r="G312" s="4" t="s">
        <v>408</v>
      </c>
      <c r="H312" s="5">
        <f>ROUND(251249,0)</f>
        <v>251249</v>
      </c>
      <c r="I312" s="6">
        <f>ROUND(162,2)</f>
        <v>162</v>
      </c>
      <c r="J312" s="6">
        <f>ROUND(11.19645077,2)</f>
        <v>11.2</v>
      </c>
      <c r="K312" s="5">
        <f>ROUND(4557217.24,0)</f>
        <v>4557217</v>
      </c>
      <c r="L312" s="7">
        <f>ROUND(0.0015838274702824,4)</f>
        <v>1.6000000000000001E-3</v>
      </c>
    </row>
    <row r="313" spans="1:12">
      <c r="A313" s="3" t="s">
        <v>665</v>
      </c>
      <c r="B313" s="4" t="s">
        <v>666</v>
      </c>
      <c r="C313" s="4" t="s">
        <v>406</v>
      </c>
      <c r="D313" s="4" t="s">
        <v>407</v>
      </c>
      <c r="E313" s="4" t="s">
        <v>35</v>
      </c>
      <c r="F313" s="4" t="s">
        <v>21</v>
      </c>
      <c r="G313" s="4" t="s">
        <v>408</v>
      </c>
      <c r="H313" s="5">
        <f>ROUND(3083,0)</f>
        <v>3083</v>
      </c>
      <c r="I313" s="6">
        <f>ROUND(161.42,2)</f>
        <v>161.41999999999999</v>
      </c>
      <c r="J313" s="6">
        <f>ROUND(9.08595,2)</f>
        <v>9.09</v>
      </c>
      <c r="K313" s="5">
        <f>ROUND(4521694.43,0)</f>
        <v>4521694</v>
      </c>
      <c r="L313" s="7">
        <f>ROUND(0.00157148177787042,4)</f>
        <v>1.6000000000000001E-3</v>
      </c>
    </row>
    <row r="314" spans="1:12">
      <c r="A314" s="3" t="s">
        <v>667</v>
      </c>
      <c r="B314" s="4" t="s">
        <v>668</v>
      </c>
      <c r="C314" s="4" t="s">
        <v>389</v>
      </c>
      <c r="D314" s="4" t="s">
        <v>407</v>
      </c>
      <c r="E314" s="4" t="s">
        <v>35</v>
      </c>
      <c r="F314" s="4" t="s">
        <v>21</v>
      </c>
      <c r="G314" s="4" t="s">
        <v>408</v>
      </c>
      <c r="H314" s="5">
        <f>ROUND(8914,0)</f>
        <v>8914</v>
      </c>
      <c r="I314" s="6">
        <f>ROUND(55.74,2)</f>
        <v>55.74</v>
      </c>
      <c r="J314" s="6">
        <f>ROUND(9.08595,2)</f>
        <v>9.09</v>
      </c>
      <c r="K314" s="5">
        <f>ROUND(4514502.9,0)</f>
        <v>4514503</v>
      </c>
      <c r="L314" s="7">
        <f>ROUND(0.00156898241429666,4)</f>
        <v>1.6000000000000001E-3</v>
      </c>
    </row>
    <row r="315" spans="1:12">
      <c r="A315" s="3" t="s">
        <v>669</v>
      </c>
      <c r="B315" s="4" t="s">
        <v>670</v>
      </c>
      <c r="C315" s="4" t="s">
        <v>534</v>
      </c>
      <c r="D315" s="4" t="s">
        <v>407</v>
      </c>
      <c r="E315" s="4" t="s">
        <v>35</v>
      </c>
      <c r="F315" s="4" t="s">
        <v>21</v>
      </c>
      <c r="G315" s="4" t="s">
        <v>408</v>
      </c>
      <c r="H315" s="5">
        <f>ROUND(3171,0)</f>
        <v>3171</v>
      </c>
      <c r="I315" s="6">
        <f>ROUND(156.49,2)</f>
        <v>156.49</v>
      </c>
      <c r="J315" s="6">
        <f>ROUND(9.08595,2)</f>
        <v>9.09</v>
      </c>
      <c r="K315" s="5">
        <f>ROUND(4508719.06,0)</f>
        <v>4508719</v>
      </c>
      <c r="L315" s="7">
        <f>ROUND(0.00156697228307111,4)</f>
        <v>1.6000000000000001E-3</v>
      </c>
    </row>
    <row r="316" spans="1:12">
      <c r="A316" s="3" t="s">
        <v>671</v>
      </c>
      <c r="B316" s="4" t="s">
        <v>672</v>
      </c>
      <c r="C316" s="4" t="s">
        <v>545</v>
      </c>
      <c r="D316" s="4" t="s">
        <v>407</v>
      </c>
      <c r="E316" s="4" t="s">
        <v>35</v>
      </c>
      <c r="F316" s="4" t="s">
        <v>21</v>
      </c>
      <c r="G316" s="4" t="s">
        <v>408</v>
      </c>
      <c r="H316" s="5">
        <f>ROUND(2232,0)</f>
        <v>2232</v>
      </c>
      <c r="I316" s="6">
        <f>ROUND(221.86,2)</f>
        <v>221.86</v>
      </c>
      <c r="J316" s="6">
        <f>ROUND(9.08595,2)</f>
        <v>9.09</v>
      </c>
      <c r="K316" s="5">
        <f>ROUND(4499285.39,0)</f>
        <v>4499285</v>
      </c>
      <c r="L316" s="7">
        <f>ROUND(0.00156369368016396,4)</f>
        <v>1.6000000000000001E-3</v>
      </c>
    </row>
    <row r="317" spans="1:12">
      <c r="A317" s="3" t="s">
        <v>673</v>
      </c>
      <c r="B317" s="4" t="s">
        <v>674</v>
      </c>
      <c r="C317" s="4" t="s">
        <v>389</v>
      </c>
      <c r="D317" s="4" t="s">
        <v>489</v>
      </c>
      <c r="E317" s="4" t="s">
        <v>490</v>
      </c>
      <c r="F317" s="4" t="s">
        <v>45</v>
      </c>
      <c r="G317" s="4" t="s">
        <v>408</v>
      </c>
      <c r="H317" s="5">
        <f>ROUND(8400,0)</f>
        <v>8400</v>
      </c>
      <c r="I317" s="6">
        <f>ROUND(6347,2)</f>
        <v>6347</v>
      </c>
      <c r="J317" s="6">
        <f>ROUND(8.407077,2)</f>
        <v>8.41</v>
      </c>
      <c r="K317" s="5">
        <f>ROUND(4482216.29,0)</f>
        <v>4482216</v>
      </c>
      <c r="L317" s="7">
        <f>ROUND(0.00155776143948961,4)</f>
        <v>1.6000000000000001E-3</v>
      </c>
    </row>
    <row r="318" spans="1:12">
      <c r="A318" s="3" t="s">
        <v>675</v>
      </c>
      <c r="B318" s="4" t="s">
        <v>676</v>
      </c>
      <c r="C318" s="4" t="s">
        <v>545</v>
      </c>
      <c r="D318" s="4" t="s">
        <v>407</v>
      </c>
      <c r="E318" s="4" t="s">
        <v>35</v>
      </c>
      <c r="F318" s="4" t="s">
        <v>21</v>
      </c>
      <c r="G318" s="4" t="s">
        <v>408</v>
      </c>
      <c r="H318" s="5">
        <f>ROUND(2490,0)</f>
        <v>2490</v>
      </c>
      <c r="I318" s="6">
        <f>ROUND(198.04,2)</f>
        <v>198.04</v>
      </c>
      <c r="J318" s="6">
        <f>ROUND(9.08595,2)</f>
        <v>9.09</v>
      </c>
      <c r="K318" s="5">
        <f>ROUND(4480460.03,0)</f>
        <v>4480460</v>
      </c>
      <c r="L318" s="7">
        <f>ROUND(0.00155715106419116,4)</f>
        <v>1.6000000000000001E-3</v>
      </c>
    </row>
    <row r="319" spans="1:12">
      <c r="A319" s="3" t="s">
        <v>677</v>
      </c>
      <c r="B319" s="4" t="s">
        <v>678</v>
      </c>
      <c r="C319" s="4" t="s">
        <v>445</v>
      </c>
      <c r="D319" s="4" t="s">
        <v>407</v>
      </c>
      <c r="E319" s="4" t="s">
        <v>35</v>
      </c>
      <c r="F319" s="4" t="s">
        <v>21</v>
      </c>
      <c r="G319" s="4" t="s">
        <v>408</v>
      </c>
      <c r="H319" s="5">
        <f>ROUND(1945,0)</f>
        <v>1945</v>
      </c>
      <c r="I319" s="6">
        <f>ROUND(252.96,2)</f>
        <v>252.96</v>
      </c>
      <c r="J319" s="6">
        <f>ROUND(9.08595,2)</f>
        <v>9.09</v>
      </c>
      <c r="K319" s="5">
        <f>ROUND(4470352.82,0)</f>
        <v>4470353</v>
      </c>
      <c r="L319" s="7">
        <f>ROUND(0.00155363837739067,4)</f>
        <v>1.6000000000000001E-3</v>
      </c>
    </row>
    <row r="320" spans="1:12">
      <c r="A320" s="3" t="s">
        <v>679</v>
      </c>
      <c r="B320" s="4" t="s">
        <v>680</v>
      </c>
      <c r="C320" s="4" t="s">
        <v>445</v>
      </c>
      <c r="D320" s="4" t="s">
        <v>390</v>
      </c>
      <c r="E320" s="4" t="s">
        <v>391</v>
      </c>
      <c r="F320" s="4" t="s">
        <v>72</v>
      </c>
      <c r="G320" s="4" t="s">
        <v>408</v>
      </c>
      <c r="H320" s="5">
        <f>ROUND(3113,0)</f>
        <v>3113</v>
      </c>
      <c r="I320" s="6">
        <f>ROUND(233.69,2)</f>
        <v>233.69</v>
      </c>
      <c r="J320" s="6">
        <f>ROUND(6.12812423,2)</f>
        <v>6.13</v>
      </c>
      <c r="K320" s="5">
        <f>ROUND(4458069.25,0)</f>
        <v>4458069</v>
      </c>
      <c r="L320" s="7">
        <f>ROUND(0.00154936931261395,4)</f>
        <v>1.5E-3</v>
      </c>
    </row>
    <row r="321" spans="1:12">
      <c r="A321" s="3" t="s">
        <v>681</v>
      </c>
      <c r="B321" s="4" t="s">
        <v>682</v>
      </c>
      <c r="C321" s="4" t="s">
        <v>400</v>
      </c>
      <c r="D321" s="4" t="s">
        <v>407</v>
      </c>
      <c r="E321" s="4" t="s">
        <v>35</v>
      </c>
      <c r="F321" s="4" t="s">
        <v>21</v>
      </c>
      <c r="G321" s="4" t="s">
        <v>408</v>
      </c>
      <c r="H321" s="5">
        <f>ROUND(2365,0)</f>
        <v>2365</v>
      </c>
      <c r="I321" s="6">
        <f>ROUND(207.23,2)</f>
        <v>207.23</v>
      </c>
      <c r="J321" s="6">
        <f>ROUND(9.08595,2)</f>
        <v>9.09</v>
      </c>
      <c r="K321" s="5">
        <f>ROUND(4453014.55,0)</f>
        <v>4453015</v>
      </c>
      <c r="L321" s="7">
        <f>ROUND(0.00154761258865448,4)</f>
        <v>1.5E-3</v>
      </c>
    </row>
    <row r="322" spans="1:12">
      <c r="A322" s="3" t="s">
        <v>683</v>
      </c>
      <c r="B322" s="4" t="s">
        <v>684</v>
      </c>
      <c r="C322" s="4" t="s">
        <v>400</v>
      </c>
      <c r="D322" s="4" t="s">
        <v>489</v>
      </c>
      <c r="E322" s="4" t="s">
        <v>490</v>
      </c>
      <c r="F322" s="4" t="s">
        <v>45</v>
      </c>
      <c r="G322" s="4" t="s">
        <v>408</v>
      </c>
      <c r="H322" s="5">
        <f>ROUND(95600,0)</f>
        <v>95600</v>
      </c>
      <c r="I322" s="6">
        <f>ROUND(548.4,2)</f>
        <v>548.4</v>
      </c>
      <c r="J322" s="6">
        <f>ROUND(8.407077,2)</f>
        <v>8.41</v>
      </c>
      <c r="K322" s="5">
        <f>ROUND(4407581.62,0)</f>
        <v>4407582</v>
      </c>
      <c r="L322" s="7">
        <f>ROUND(0.00153182270662783,4)</f>
        <v>1.5E-3</v>
      </c>
    </row>
    <row r="323" spans="1:12">
      <c r="A323" s="3" t="s">
        <v>685</v>
      </c>
      <c r="B323" s="4" t="s">
        <v>686</v>
      </c>
      <c r="C323" s="4" t="s">
        <v>545</v>
      </c>
      <c r="D323" s="4" t="s">
        <v>541</v>
      </c>
      <c r="E323" s="4" t="s">
        <v>542</v>
      </c>
      <c r="F323" s="4" t="s">
        <v>18</v>
      </c>
      <c r="G323" s="4" t="s">
        <v>408</v>
      </c>
      <c r="H323" s="5">
        <f>ROUND(6924,0)</f>
        <v>6924</v>
      </c>
      <c r="I323" s="6">
        <f>ROUND(64.12,2)</f>
        <v>64.12</v>
      </c>
      <c r="J323" s="6">
        <f>ROUND(9.9055,2)</f>
        <v>9.91</v>
      </c>
      <c r="K323" s="5">
        <f>ROUND(4397713.93,0)</f>
        <v>4397714</v>
      </c>
      <c r="L323" s="7">
        <f>ROUND(0.00152839326324886,4)</f>
        <v>1.5E-3</v>
      </c>
    </row>
    <row r="324" spans="1:12">
      <c r="A324" s="3" t="s">
        <v>687</v>
      </c>
      <c r="B324" s="4" t="s">
        <v>688</v>
      </c>
      <c r="C324" s="4" t="s">
        <v>445</v>
      </c>
      <c r="D324" s="4" t="s">
        <v>407</v>
      </c>
      <c r="E324" s="4" t="s">
        <v>35</v>
      </c>
      <c r="F324" s="4" t="s">
        <v>21</v>
      </c>
      <c r="G324" s="4" t="s">
        <v>408</v>
      </c>
      <c r="H324" s="5">
        <f>ROUND(4853,0)</f>
        <v>4853</v>
      </c>
      <c r="I324" s="6">
        <f>ROUND(99.3,2)</f>
        <v>99.3</v>
      </c>
      <c r="J324" s="6">
        <f>ROUND(9.08595,2)</f>
        <v>9.09</v>
      </c>
      <c r="K324" s="5">
        <f>ROUND(4378545.65,0)</f>
        <v>4378546</v>
      </c>
      <c r="L324" s="7">
        <f>ROUND(0.00152173146794194,4)</f>
        <v>1.5E-3</v>
      </c>
    </row>
    <row r="325" spans="1:12">
      <c r="A325" s="3" t="s">
        <v>689</v>
      </c>
      <c r="B325" s="4" t="s">
        <v>690</v>
      </c>
      <c r="C325" s="4" t="s">
        <v>400</v>
      </c>
      <c r="D325" s="4" t="s">
        <v>655</v>
      </c>
      <c r="E325" s="4" t="s">
        <v>656</v>
      </c>
      <c r="F325" s="4" t="s">
        <v>26</v>
      </c>
      <c r="G325" s="4" t="s">
        <v>408</v>
      </c>
      <c r="H325" s="5">
        <f>ROUND(41000,0)</f>
        <v>41000</v>
      </c>
      <c r="I325" s="6">
        <f>ROUND(90.05,2)</f>
        <v>90.05</v>
      </c>
      <c r="J325" s="6">
        <f>ROUND(1.15901246,2)</f>
        <v>1.1599999999999999</v>
      </c>
      <c r="K325" s="5">
        <f>ROUND(4279131.95,0)</f>
        <v>4279132</v>
      </c>
      <c r="L325" s="7">
        <f>ROUND(0.00148718096470931,4)</f>
        <v>1.5E-3</v>
      </c>
    </row>
    <row r="326" spans="1:12">
      <c r="A326" s="3" t="s">
        <v>691</v>
      </c>
      <c r="B326" s="4" t="s">
        <v>692</v>
      </c>
      <c r="C326" s="4" t="s">
        <v>400</v>
      </c>
      <c r="D326" s="4" t="s">
        <v>390</v>
      </c>
      <c r="E326" s="4" t="s">
        <v>391</v>
      </c>
      <c r="F326" s="4" t="s">
        <v>72</v>
      </c>
      <c r="G326" s="4" t="s">
        <v>408</v>
      </c>
      <c r="H326" s="5">
        <f>ROUND(23350,0)</f>
        <v>23350</v>
      </c>
      <c r="I326" s="6">
        <f>ROUND(29.64,2)</f>
        <v>29.64</v>
      </c>
      <c r="J326" s="6">
        <f>ROUND(6.12812423,2)</f>
        <v>6.13</v>
      </c>
      <c r="K326" s="5">
        <f>ROUND(4241238.01,0)</f>
        <v>4241238</v>
      </c>
      <c r="L326" s="7">
        <f>ROUND(0.00147401120343428,4)</f>
        <v>1.5E-3</v>
      </c>
    </row>
    <row r="327" spans="1:12">
      <c r="A327" s="3" t="s">
        <v>693</v>
      </c>
      <c r="B327" s="4" t="s">
        <v>694</v>
      </c>
      <c r="C327" s="4" t="s">
        <v>493</v>
      </c>
      <c r="D327" s="4" t="s">
        <v>407</v>
      </c>
      <c r="E327" s="4" t="s">
        <v>35</v>
      </c>
      <c r="F327" s="4" t="s">
        <v>21</v>
      </c>
      <c r="G327" s="4" t="s">
        <v>408</v>
      </c>
      <c r="H327" s="5">
        <f>ROUND(3159,0)</f>
        <v>3159</v>
      </c>
      <c r="I327" s="6">
        <f>ROUND(147.61,2)</f>
        <v>147.61000000000001</v>
      </c>
      <c r="J327" s="6">
        <f>ROUND(9.08595,2)</f>
        <v>9.09</v>
      </c>
      <c r="K327" s="5">
        <f>ROUND(4236778.39,0)</f>
        <v>4236778</v>
      </c>
      <c r="L327" s="7">
        <f>ROUND(0.00147246129516986,4)</f>
        <v>1.5E-3</v>
      </c>
    </row>
    <row r="328" spans="1:12">
      <c r="A328" s="3" t="s">
        <v>695</v>
      </c>
      <c r="B328" s="4" t="s">
        <v>696</v>
      </c>
      <c r="C328" s="4" t="s">
        <v>415</v>
      </c>
      <c r="D328" s="4" t="s">
        <v>407</v>
      </c>
      <c r="E328" s="4" t="s">
        <v>35</v>
      </c>
      <c r="F328" s="4" t="s">
        <v>21</v>
      </c>
      <c r="G328" s="4" t="s">
        <v>408</v>
      </c>
      <c r="H328" s="5">
        <f>ROUND(1119,0)</f>
        <v>1119</v>
      </c>
      <c r="I328" s="6">
        <f>ROUND(412.12,2)</f>
        <v>412.12</v>
      </c>
      <c r="J328" s="6">
        <f>ROUND(9.08595,2)</f>
        <v>9.09</v>
      </c>
      <c r="K328" s="5">
        <f>ROUND(4190097.42,0)</f>
        <v>4190097</v>
      </c>
      <c r="L328" s="7">
        <f>ROUND(0.00145623766598307,4)</f>
        <v>1.5E-3</v>
      </c>
    </row>
    <row r="329" spans="1:12">
      <c r="A329" s="3" t="s">
        <v>697</v>
      </c>
      <c r="B329" s="4" t="s">
        <v>698</v>
      </c>
      <c r="C329" s="4" t="s">
        <v>400</v>
      </c>
      <c r="D329" s="4" t="s">
        <v>407</v>
      </c>
      <c r="E329" s="4" t="s">
        <v>35</v>
      </c>
      <c r="F329" s="4" t="s">
        <v>21</v>
      </c>
      <c r="G329" s="4" t="s">
        <v>408</v>
      </c>
      <c r="H329" s="5">
        <f>ROUND(4605,0)</f>
        <v>4605</v>
      </c>
      <c r="I329" s="6">
        <f>ROUND(100.05,2)</f>
        <v>100.05</v>
      </c>
      <c r="J329" s="6">
        <f>ROUND(9.08595,2)</f>
        <v>9.09</v>
      </c>
      <c r="K329" s="5">
        <f>ROUND(4186172.01,0)</f>
        <v>4186172</v>
      </c>
      <c r="L329" s="7">
        <f>ROUND(0.00145487341849108,4)</f>
        <v>1.5E-3</v>
      </c>
    </row>
    <row r="330" spans="1:12">
      <c r="A330" s="3" t="s">
        <v>699</v>
      </c>
      <c r="B330" s="4" t="s">
        <v>700</v>
      </c>
      <c r="C330" s="4" t="s">
        <v>400</v>
      </c>
      <c r="D330" s="4" t="s">
        <v>520</v>
      </c>
      <c r="E330" s="4" t="s">
        <v>521</v>
      </c>
      <c r="F330" s="4" t="s">
        <v>18</v>
      </c>
      <c r="G330" s="4" t="s">
        <v>408</v>
      </c>
      <c r="H330" s="5">
        <f>ROUND(9402,0)</f>
        <v>9402</v>
      </c>
      <c r="I330" s="6">
        <f>ROUND(44.67,2)</f>
        <v>44.67</v>
      </c>
      <c r="J330" s="6">
        <f>ROUND(9.9055,2)</f>
        <v>9.91</v>
      </c>
      <c r="K330" s="5">
        <f>ROUND(4160184.6,0)</f>
        <v>4160185</v>
      </c>
      <c r="L330" s="7">
        <f>ROUND(0.00144584168450258,4)</f>
        <v>1.4E-3</v>
      </c>
    </row>
    <row r="331" spans="1:12">
      <c r="A331" s="3" t="s">
        <v>701</v>
      </c>
      <c r="B331" s="4" t="s">
        <v>702</v>
      </c>
      <c r="C331" s="4" t="s">
        <v>493</v>
      </c>
      <c r="D331" s="4" t="s">
        <v>407</v>
      </c>
      <c r="E331" s="4" t="s">
        <v>35</v>
      </c>
      <c r="F331" s="4" t="s">
        <v>21</v>
      </c>
      <c r="G331" s="4" t="s">
        <v>408</v>
      </c>
      <c r="H331" s="5">
        <f>ROUND(5352,0)</f>
        <v>5352</v>
      </c>
      <c r="I331" s="6">
        <f>ROUND(85.47,2)</f>
        <v>85.47</v>
      </c>
      <c r="J331" s="6">
        <f>ROUND(9.08595,2)</f>
        <v>9.09</v>
      </c>
      <c r="K331" s="5">
        <f>ROUND(4156235.54,0)</f>
        <v>4156236</v>
      </c>
      <c r="L331" s="7">
        <f>ROUND(0.00144446921762633,4)</f>
        <v>1.4E-3</v>
      </c>
    </row>
    <row r="332" spans="1:12">
      <c r="A332" s="3" t="s">
        <v>703</v>
      </c>
      <c r="B332" s="4" t="s">
        <v>704</v>
      </c>
      <c r="C332" s="4" t="s">
        <v>445</v>
      </c>
      <c r="D332" s="4" t="s">
        <v>407</v>
      </c>
      <c r="E332" s="4" t="s">
        <v>35</v>
      </c>
      <c r="F332" s="4" t="s">
        <v>21</v>
      </c>
      <c r="G332" s="4" t="s">
        <v>408</v>
      </c>
      <c r="H332" s="5">
        <f>ROUND(842,0)</f>
        <v>842</v>
      </c>
      <c r="I332" s="6">
        <f>ROUND(539.93,2)</f>
        <v>539.92999999999995</v>
      </c>
      <c r="J332" s="6">
        <f>ROUND(9.08595,2)</f>
        <v>9.09</v>
      </c>
      <c r="K332" s="5">
        <f>ROUND(4130664.22,0)</f>
        <v>4130664</v>
      </c>
      <c r="L332" s="7">
        <f>ROUND(0.00143558209266948,4)</f>
        <v>1.4E-3</v>
      </c>
    </row>
    <row r="333" spans="1:12">
      <c r="A333" s="3" t="s">
        <v>705</v>
      </c>
      <c r="B333" s="4" t="s">
        <v>706</v>
      </c>
      <c r="C333" s="4" t="s">
        <v>445</v>
      </c>
      <c r="D333" s="4" t="s">
        <v>407</v>
      </c>
      <c r="E333" s="4" t="s">
        <v>35</v>
      </c>
      <c r="F333" s="4" t="s">
        <v>21</v>
      </c>
      <c r="G333" s="4" t="s">
        <v>408</v>
      </c>
      <c r="H333" s="5">
        <f>ROUND(3648,0)</f>
        <v>3648</v>
      </c>
      <c r="I333" s="6">
        <f>ROUND(124.59,2)</f>
        <v>124.59</v>
      </c>
      <c r="J333" s="6">
        <f>ROUND(9.08595,2)</f>
        <v>9.09</v>
      </c>
      <c r="K333" s="5">
        <f>ROUND(4129603.53,0)</f>
        <v>4129604</v>
      </c>
      <c r="L333" s="7">
        <f>ROUND(0.0014352134576295,4)</f>
        <v>1.4E-3</v>
      </c>
    </row>
    <row r="334" spans="1:12">
      <c r="A334" s="3" t="s">
        <v>707</v>
      </c>
      <c r="B334" s="4" t="s">
        <v>708</v>
      </c>
      <c r="C334" s="4" t="s">
        <v>406</v>
      </c>
      <c r="D334" s="4" t="s">
        <v>407</v>
      </c>
      <c r="E334" s="4" t="s">
        <v>35</v>
      </c>
      <c r="F334" s="4" t="s">
        <v>21</v>
      </c>
      <c r="G334" s="4" t="s">
        <v>408</v>
      </c>
      <c r="H334" s="5">
        <f>ROUND(4372,0)</f>
        <v>4372</v>
      </c>
      <c r="I334" s="6">
        <f>ROUND(103.59,2)</f>
        <v>103.59</v>
      </c>
      <c r="J334" s="6">
        <f>ROUND(9.08595,2)</f>
        <v>9.09</v>
      </c>
      <c r="K334" s="5">
        <f>ROUND(4114985.69,0)</f>
        <v>4114986</v>
      </c>
      <c r="L334" s="7">
        <f>ROUND(0.00143013313441274,4)</f>
        <v>1.4E-3</v>
      </c>
    </row>
    <row r="335" spans="1:12">
      <c r="A335" s="3" t="s">
        <v>709</v>
      </c>
      <c r="B335" s="4" t="s">
        <v>710</v>
      </c>
      <c r="C335" s="4" t="s">
        <v>422</v>
      </c>
      <c r="D335" s="4" t="s">
        <v>407</v>
      </c>
      <c r="E335" s="4" t="s">
        <v>35</v>
      </c>
      <c r="F335" s="4" t="s">
        <v>21</v>
      </c>
      <c r="G335" s="4" t="s">
        <v>408</v>
      </c>
      <c r="H335" s="5">
        <f>ROUND(3186,0)</f>
        <v>3186</v>
      </c>
      <c r="I335" s="6">
        <f>ROUND(142.05,2)</f>
        <v>142.05000000000001</v>
      </c>
      <c r="J335" s="6">
        <f>ROUND(9.08595,2)</f>
        <v>9.09</v>
      </c>
      <c r="K335" s="5">
        <f>ROUND(4112040.2,0)</f>
        <v>4112040</v>
      </c>
      <c r="L335" s="7">
        <f>ROUND(0.00142910945093887,4)</f>
        <v>1.4E-3</v>
      </c>
    </row>
    <row r="336" spans="1:12">
      <c r="A336" s="3" t="s">
        <v>711</v>
      </c>
      <c r="B336" s="4" t="s">
        <v>712</v>
      </c>
      <c r="C336" s="4" t="s">
        <v>415</v>
      </c>
      <c r="D336" s="4" t="s">
        <v>541</v>
      </c>
      <c r="E336" s="4" t="s">
        <v>542</v>
      </c>
      <c r="F336" s="4" t="s">
        <v>18</v>
      </c>
      <c r="G336" s="4" t="s">
        <v>408</v>
      </c>
      <c r="H336" s="5">
        <f>ROUND(26896,0)</f>
        <v>26896</v>
      </c>
      <c r="I336" s="6">
        <f>ROUND(15.394,2)</f>
        <v>15.39</v>
      </c>
      <c r="J336" s="6">
        <f>ROUND(9.9055,2)</f>
        <v>9.91</v>
      </c>
      <c r="K336" s="5">
        <f>ROUND(4101243.7,0)</f>
        <v>4101244</v>
      </c>
      <c r="L336" s="7">
        <f>ROUND(0.0014253572064479,4)</f>
        <v>1.4E-3</v>
      </c>
    </row>
    <row r="337" spans="1:12">
      <c r="A337" s="3" t="s">
        <v>713</v>
      </c>
      <c r="B337" s="4" t="s">
        <v>714</v>
      </c>
      <c r="C337" s="4" t="s">
        <v>566</v>
      </c>
      <c r="D337" s="4" t="s">
        <v>407</v>
      </c>
      <c r="E337" s="4" t="s">
        <v>35</v>
      </c>
      <c r="F337" s="4" t="s">
        <v>21</v>
      </c>
      <c r="G337" s="4" t="s">
        <v>408</v>
      </c>
      <c r="H337" s="5">
        <f>ROUND(5287,0)</f>
        <v>5287</v>
      </c>
      <c r="I337" s="6">
        <f>ROUND(85.22,2)</f>
        <v>85.22</v>
      </c>
      <c r="J337" s="6">
        <f>ROUND(9.08595,2)</f>
        <v>9.09</v>
      </c>
      <c r="K337" s="5">
        <f>ROUND(4093748.73,0)</f>
        <v>4093749</v>
      </c>
      <c r="L337" s="7">
        <f>ROUND(0.00142275238452483,4)</f>
        <v>1.4E-3</v>
      </c>
    </row>
    <row r="338" spans="1:12">
      <c r="A338" s="3" t="s">
        <v>715</v>
      </c>
      <c r="B338" s="4" t="s">
        <v>716</v>
      </c>
      <c r="C338" s="4" t="s">
        <v>389</v>
      </c>
      <c r="D338" s="4" t="s">
        <v>717</v>
      </c>
      <c r="E338" s="4" t="s">
        <v>718</v>
      </c>
      <c r="F338" s="4" t="s">
        <v>175</v>
      </c>
      <c r="G338" s="4" t="s">
        <v>408</v>
      </c>
      <c r="H338" s="5">
        <f>ROUND(2942,0)</f>
        <v>2942</v>
      </c>
      <c r="I338" s="6">
        <f>ROUND(229505,2)</f>
        <v>229505</v>
      </c>
      <c r="J338" s="6">
        <f>ROUND(0.59923836,2)</f>
        <v>0.6</v>
      </c>
      <c r="K338" s="5">
        <f>ROUND(4046079.64,0)</f>
        <v>4046080</v>
      </c>
      <c r="L338" s="7">
        <f>ROUND(0.00140618534146999,4)</f>
        <v>1.4E-3</v>
      </c>
    </row>
    <row r="339" spans="1:12">
      <c r="A339" s="3" t="s">
        <v>719</v>
      </c>
      <c r="B339" s="4" t="s">
        <v>720</v>
      </c>
      <c r="C339" s="4" t="s">
        <v>493</v>
      </c>
      <c r="D339" s="4" t="s">
        <v>407</v>
      </c>
      <c r="E339" s="4" t="s">
        <v>35</v>
      </c>
      <c r="F339" s="4" t="s">
        <v>21</v>
      </c>
      <c r="G339" s="4" t="s">
        <v>408</v>
      </c>
      <c r="H339" s="5">
        <f>ROUND(7133,0)</f>
        <v>7133</v>
      </c>
      <c r="I339" s="6">
        <f>ROUND(62.08,2)</f>
        <v>62.08</v>
      </c>
      <c r="J339" s="6">
        <f>ROUND(9.08595,2)</f>
        <v>9.09</v>
      </c>
      <c r="K339" s="5">
        <f>ROUND(4023409.85,0)</f>
        <v>4023410</v>
      </c>
      <c r="L339" s="7">
        <f>ROUND(0.00139830662201102,4)</f>
        <v>1.4E-3</v>
      </c>
    </row>
    <row r="340" spans="1:12">
      <c r="A340" s="3" t="s">
        <v>721</v>
      </c>
      <c r="B340" s="4" t="s">
        <v>722</v>
      </c>
      <c r="C340" s="4" t="s">
        <v>493</v>
      </c>
      <c r="D340" s="4" t="s">
        <v>723</v>
      </c>
      <c r="E340" s="4" t="s">
        <v>724</v>
      </c>
      <c r="F340" s="4" t="s">
        <v>18</v>
      </c>
      <c r="G340" s="4" t="s">
        <v>408</v>
      </c>
      <c r="H340" s="5">
        <f>ROUND(42463,0)</f>
        <v>42463</v>
      </c>
      <c r="I340" s="6">
        <f>ROUND(9.536,2)</f>
        <v>9.5399999999999991</v>
      </c>
      <c r="J340" s="6">
        <f>ROUND(9.9055,2)</f>
        <v>9.91</v>
      </c>
      <c r="K340" s="5">
        <f>ROUND(4011006.08,0)</f>
        <v>4011006</v>
      </c>
      <c r="L340" s="7">
        <f>ROUND(0.00139399578260476,4)</f>
        <v>1.4E-3</v>
      </c>
    </row>
    <row r="341" spans="1:12">
      <c r="A341" s="3" t="s">
        <v>725</v>
      </c>
      <c r="B341" s="4" t="s">
        <v>726</v>
      </c>
      <c r="C341" s="4" t="s">
        <v>430</v>
      </c>
      <c r="D341" s="4" t="s">
        <v>407</v>
      </c>
      <c r="E341" s="4" t="s">
        <v>35</v>
      </c>
      <c r="F341" s="4" t="s">
        <v>21</v>
      </c>
      <c r="G341" s="4" t="s">
        <v>408</v>
      </c>
      <c r="H341" s="5">
        <f>ROUND(7722,0)</f>
        <v>7722</v>
      </c>
      <c r="I341" s="6">
        <f>ROUND(56.98,2)</f>
        <v>56.98</v>
      </c>
      <c r="J341" s="6">
        <f>ROUND(9.08595,2)</f>
        <v>9.09</v>
      </c>
      <c r="K341" s="5">
        <f>ROUND(3997814,0)</f>
        <v>3997814</v>
      </c>
      <c r="L341" s="7">
        <f>ROUND(0.00138941097183235,4)</f>
        <v>1.4E-3</v>
      </c>
    </row>
    <row r="342" spans="1:12">
      <c r="A342" s="3" t="s">
        <v>727</v>
      </c>
      <c r="B342" s="4" t="s">
        <v>728</v>
      </c>
      <c r="C342" s="4" t="s">
        <v>400</v>
      </c>
      <c r="D342" s="4" t="s">
        <v>407</v>
      </c>
      <c r="E342" s="4" t="s">
        <v>35</v>
      </c>
      <c r="F342" s="4" t="s">
        <v>21</v>
      </c>
      <c r="G342" s="4" t="s">
        <v>408</v>
      </c>
      <c r="H342" s="5">
        <f>ROUND(982,0)</f>
        <v>982</v>
      </c>
      <c r="I342" s="6">
        <f>ROUND(445.64,2)</f>
        <v>445.64</v>
      </c>
      <c r="J342" s="6">
        <f>ROUND(9.08595,2)</f>
        <v>9.09</v>
      </c>
      <c r="K342" s="5">
        <f>ROUND(3976179.63,0)</f>
        <v>3976180</v>
      </c>
      <c r="L342" s="7">
        <f>ROUND(0.00138189210500997,4)</f>
        <v>1.4E-3</v>
      </c>
    </row>
    <row r="343" spans="1:12">
      <c r="A343" s="3" t="s">
        <v>729</v>
      </c>
      <c r="B343" s="4" t="s">
        <v>730</v>
      </c>
      <c r="C343" s="4" t="s">
        <v>430</v>
      </c>
      <c r="D343" s="4" t="s">
        <v>514</v>
      </c>
      <c r="E343" s="4" t="s">
        <v>515</v>
      </c>
      <c r="F343" s="4" t="s">
        <v>190</v>
      </c>
      <c r="G343" s="4" t="s">
        <v>408</v>
      </c>
      <c r="H343" s="5">
        <f>ROUND(11794,0)</f>
        <v>11794</v>
      </c>
      <c r="I343" s="6">
        <f>ROUND(49.11,2)</f>
        <v>49.11</v>
      </c>
      <c r="J343" s="6">
        <f>ROUND(6.86237833,2)</f>
        <v>6.86</v>
      </c>
      <c r="K343" s="5">
        <f>ROUND(3974712.45,0)</f>
        <v>3974712</v>
      </c>
      <c r="L343" s="7">
        <f>ROUND(0.00138138219734802,4)</f>
        <v>1.4E-3</v>
      </c>
    </row>
    <row r="344" spans="1:12">
      <c r="A344" s="3" t="s">
        <v>731</v>
      </c>
      <c r="B344" s="4" t="s">
        <v>732</v>
      </c>
      <c r="C344" s="4" t="s">
        <v>422</v>
      </c>
      <c r="D344" s="4" t="s">
        <v>486</v>
      </c>
      <c r="E344" s="4" t="s">
        <v>30</v>
      </c>
      <c r="F344" s="4" t="s">
        <v>20</v>
      </c>
      <c r="G344" s="4" t="s">
        <v>408</v>
      </c>
      <c r="H344" s="5">
        <f>ROUND(5558,0)</f>
        <v>5558</v>
      </c>
      <c r="I344" s="6">
        <f>ROUND(6344,2)</f>
        <v>6344</v>
      </c>
      <c r="J344" s="6">
        <f>ROUND(11.19645077,2)</f>
        <v>11.2</v>
      </c>
      <c r="K344" s="5">
        <f>ROUND(3947863.17,0)</f>
        <v>3947863</v>
      </c>
      <c r="L344" s="7">
        <f>ROUND(0.00137205092675419,4)</f>
        <v>1.4E-3</v>
      </c>
    </row>
    <row r="345" spans="1:12">
      <c r="A345" s="3" t="s">
        <v>733</v>
      </c>
      <c r="B345" s="4" t="s">
        <v>734</v>
      </c>
      <c r="C345" s="4" t="s">
        <v>406</v>
      </c>
      <c r="D345" s="4" t="s">
        <v>489</v>
      </c>
      <c r="E345" s="4" t="s">
        <v>490</v>
      </c>
      <c r="F345" s="4" t="s">
        <v>45</v>
      </c>
      <c r="G345" s="4" t="s">
        <v>408</v>
      </c>
      <c r="H345" s="5">
        <f>ROUND(700,0)</f>
        <v>700</v>
      </c>
      <c r="I345" s="6">
        <f>ROUND(66900,2)</f>
        <v>66900</v>
      </c>
      <c r="J345" s="6">
        <f>ROUND(8.407077,2)</f>
        <v>8.41</v>
      </c>
      <c r="K345" s="5">
        <f>ROUND(3937034.16,0)</f>
        <v>3937034</v>
      </c>
      <c r="L345" s="7">
        <f>ROUND(0.00136828738365086,4)</f>
        <v>1.4E-3</v>
      </c>
    </row>
    <row r="346" spans="1:12">
      <c r="A346" s="3" t="s">
        <v>735</v>
      </c>
      <c r="B346" s="4" t="s">
        <v>736</v>
      </c>
      <c r="C346" s="4" t="s">
        <v>534</v>
      </c>
      <c r="D346" s="4" t="s">
        <v>407</v>
      </c>
      <c r="E346" s="4" t="s">
        <v>35</v>
      </c>
      <c r="F346" s="4" t="s">
        <v>21</v>
      </c>
      <c r="G346" s="4" t="s">
        <v>408</v>
      </c>
      <c r="H346" s="5">
        <f>ROUND(2558,0)</f>
        <v>2558</v>
      </c>
      <c r="I346" s="6">
        <f>ROUND(168.68,2)</f>
        <v>168.68</v>
      </c>
      <c r="J346" s="6">
        <f>ROUND(9.08595,2)</f>
        <v>9.09</v>
      </c>
      <c r="K346" s="5">
        <f>ROUND(3920436.96,0)</f>
        <v>3920437</v>
      </c>
      <c r="L346" s="7">
        <f>ROUND(0.00136251914836485,4)</f>
        <v>1.4E-3</v>
      </c>
    </row>
    <row r="347" spans="1:12">
      <c r="A347" s="3" t="s">
        <v>737</v>
      </c>
      <c r="B347" s="4" t="s">
        <v>738</v>
      </c>
      <c r="C347" s="4" t="s">
        <v>406</v>
      </c>
      <c r="D347" s="4" t="s">
        <v>739</v>
      </c>
      <c r="E347" s="4" t="s">
        <v>740</v>
      </c>
      <c r="F347" s="4" t="s">
        <v>741</v>
      </c>
      <c r="G347" s="4" t="s">
        <v>408</v>
      </c>
      <c r="H347" s="5">
        <f>ROUND(6273,0)</f>
        <v>6273</v>
      </c>
      <c r="I347" s="6">
        <f>ROUND(82200,2)</f>
        <v>82200</v>
      </c>
      <c r="J347" s="6">
        <f>ROUND(0.00759599,2)</f>
        <v>0.01</v>
      </c>
      <c r="K347" s="5">
        <f>ROUND(3916800.84,0)</f>
        <v>3916801</v>
      </c>
      <c r="L347" s="7">
        <f>ROUND(0.00136125544149332,4)</f>
        <v>1.4E-3</v>
      </c>
    </row>
    <row r="348" spans="1:12">
      <c r="A348" s="3" t="s">
        <v>742</v>
      </c>
      <c r="B348" s="4" t="s">
        <v>743</v>
      </c>
      <c r="C348" s="4" t="s">
        <v>534</v>
      </c>
      <c r="D348" s="4" t="s">
        <v>520</v>
      </c>
      <c r="E348" s="4" t="s">
        <v>521</v>
      </c>
      <c r="F348" s="4" t="s">
        <v>18</v>
      </c>
      <c r="G348" s="4" t="s">
        <v>408</v>
      </c>
      <c r="H348" s="5">
        <f>ROUND(3979,0)</f>
        <v>3979</v>
      </c>
      <c r="I348" s="6">
        <f>ROUND(98.82,2)</f>
        <v>98.82</v>
      </c>
      <c r="J348" s="6">
        <f>ROUND(9.9055,2)</f>
        <v>9.91</v>
      </c>
      <c r="K348" s="5">
        <f>ROUND(3894889.95,0)</f>
        <v>3894890</v>
      </c>
      <c r="L348" s="7">
        <f>ROUND(0.00135364047217043,4)</f>
        <v>1.4E-3</v>
      </c>
    </row>
    <row r="349" spans="1:12">
      <c r="A349" s="3" t="s">
        <v>744</v>
      </c>
      <c r="B349" s="4" t="s">
        <v>745</v>
      </c>
      <c r="C349" s="4" t="s">
        <v>400</v>
      </c>
      <c r="D349" s="4" t="s">
        <v>407</v>
      </c>
      <c r="E349" s="4" t="s">
        <v>35</v>
      </c>
      <c r="F349" s="4" t="s">
        <v>21</v>
      </c>
      <c r="G349" s="4" t="s">
        <v>408</v>
      </c>
      <c r="H349" s="5">
        <f>ROUND(3053,0)</f>
        <v>3053</v>
      </c>
      <c r="I349" s="6">
        <f>ROUND(140.16,2)</f>
        <v>140.16</v>
      </c>
      <c r="J349" s="6">
        <f>ROUND(9.08595,2)</f>
        <v>9.09</v>
      </c>
      <c r="K349" s="5">
        <f>ROUND(3887955.05,0)</f>
        <v>3887955</v>
      </c>
      <c r="L349" s="7">
        <f>ROUND(0.00135123029847337,4)</f>
        <v>1.4E-3</v>
      </c>
    </row>
    <row r="350" spans="1:12">
      <c r="A350" s="3" t="s">
        <v>746</v>
      </c>
      <c r="B350" s="4" t="s">
        <v>747</v>
      </c>
      <c r="C350" s="4" t="s">
        <v>400</v>
      </c>
      <c r="D350" s="4" t="s">
        <v>407</v>
      </c>
      <c r="E350" s="4" t="s">
        <v>35</v>
      </c>
      <c r="F350" s="4" t="s">
        <v>21</v>
      </c>
      <c r="G350" s="4" t="s">
        <v>408</v>
      </c>
      <c r="H350" s="5">
        <f>ROUND(1742,0)</f>
        <v>1742</v>
      </c>
      <c r="I350" s="6">
        <f>ROUND(244.98,2)</f>
        <v>244.98</v>
      </c>
      <c r="J350" s="6">
        <f>ROUND(9.08595,2)</f>
        <v>9.09</v>
      </c>
      <c r="K350" s="5">
        <f>ROUND(3877476.05,0)</f>
        <v>3877476</v>
      </c>
      <c r="L350" s="7">
        <f>ROUND(0.00134758839878173,4)</f>
        <v>1.2999999999999999E-3</v>
      </c>
    </row>
    <row r="351" spans="1:12">
      <c r="A351" s="3" t="s">
        <v>748</v>
      </c>
      <c r="B351" s="4" t="s">
        <v>749</v>
      </c>
      <c r="C351" s="4" t="s">
        <v>400</v>
      </c>
      <c r="D351" s="4" t="s">
        <v>390</v>
      </c>
      <c r="E351" s="4" t="s">
        <v>391</v>
      </c>
      <c r="F351" s="4" t="s">
        <v>72</v>
      </c>
      <c r="G351" s="4" t="s">
        <v>408</v>
      </c>
      <c r="H351" s="5">
        <f>ROUND(21242,0)</f>
        <v>21242</v>
      </c>
      <c r="I351" s="6">
        <f>ROUND(29.7,2)</f>
        <v>29.7</v>
      </c>
      <c r="J351" s="6">
        <f>ROUND(6.12812423,2)</f>
        <v>6.13</v>
      </c>
      <c r="K351" s="5">
        <f>ROUND(3866156.36,0)</f>
        <v>3866156</v>
      </c>
      <c r="L351" s="7">
        <f>ROUND(0.00134365432343862,4)</f>
        <v>1.2999999999999999E-3</v>
      </c>
    </row>
    <row r="352" spans="1:12">
      <c r="A352" s="3" t="s">
        <v>750</v>
      </c>
      <c r="B352" s="4" t="s">
        <v>751</v>
      </c>
      <c r="C352" s="4" t="s">
        <v>400</v>
      </c>
      <c r="D352" s="4" t="s">
        <v>655</v>
      </c>
      <c r="E352" s="4" t="s">
        <v>656</v>
      </c>
      <c r="F352" s="4" t="s">
        <v>26</v>
      </c>
      <c r="G352" s="4" t="s">
        <v>408</v>
      </c>
      <c r="H352" s="5">
        <f>ROUND(628000,0)</f>
        <v>628000</v>
      </c>
      <c r="I352" s="6">
        <f>ROUND(5.25,2)</f>
        <v>5.25</v>
      </c>
      <c r="J352" s="6">
        <f>ROUND(1.15901246,2)</f>
        <v>1.1599999999999999</v>
      </c>
      <c r="K352" s="5">
        <f>ROUND(3821264.08,0)</f>
        <v>3821264</v>
      </c>
      <c r="L352" s="7">
        <f>ROUND(0.00132805234035922,4)</f>
        <v>1.2999999999999999E-3</v>
      </c>
    </row>
    <row r="353" spans="1:12">
      <c r="A353" s="3" t="s">
        <v>752</v>
      </c>
      <c r="B353" s="4" t="s">
        <v>753</v>
      </c>
      <c r="C353" s="4" t="s">
        <v>389</v>
      </c>
      <c r="D353" s="4" t="s">
        <v>541</v>
      </c>
      <c r="E353" s="4" t="s">
        <v>542</v>
      </c>
      <c r="F353" s="4" t="s">
        <v>18</v>
      </c>
      <c r="G353" s="4" t="s">
        <v>408</v>
      </c>
      <c r="H353" s="5">
        <f>ROUND(8412,0)</f>
        <v>8412</v>
      </c>
      <c r="I353" s="6">
        <f>ROUND(45.62,2)</f>
        <v>45.62</v>
      </c>
      <c r="J353" s="6">
        <f>ROUND(9.9055,2)</f>
        <v>9.91</v>
      </c>
      <c r="K353" s="5">
        <f>ROUND(3801289.51,0)</f>
        <v>3801290</v>
      </c>
      <c r="L353" s="7">
        <f>ROUND(0.00132111032486885,4)</f>
        <v>1.2999999999999999E-3</v>
      </c>
    </row>
    <row r="354" spans="1:12">
      <c r="A354" s="3" t="s">
        <v>754</v>
      </c>
      <c r="B354" s="4" t="s">
        <v>755</v>
      </c>
      <c r="C354" s="4" t="s">
        <v>534</v>
      </c>
      <c r="D354" s="4" t="s">
        <v>407</v>
      </c>
      <c r="E354" s="4" t="s">
        <v>35</v>
      </c>
      <c r="F354" s="4" t="s">
        <v>21</v>
      </c>
      <c r="G354" s="4" t="s">
        <v>408</v>
      </c>
      <c r="H354" s="5">
        <f>ROUND(5083,0)</f>
        <v>5083</v>
      </c>
      <c r="I354" s="6">
        <f>ROUND(82.24,2)</f>
        <v>82.24</v>
      </c>
      <c r="J354" s="6">
        <f>ROUND(9.08595,2)</f>
        <v>9.09</v>
      </c>
      <c r="K354" s="5">
        <f>ROUND(3798162.61,0)</f>
        <v>3798163</v>
      </c>
      <c r="L354" s="7">
        <f>ROUND(0.0013200235936783,4)</f>
        <v>1.2999999999999999E-3</v>
      </c>
    </row>
    <row r="355" spans="1:12">
      <c r="A355" s="3" t="s">
        <v>756</v>
      </c>
      <c r="B355" s="4" t="s">
        <v>757</v>
      </c>
      <c r="C355" s="4" t="s">
        <v>400</v>
      </c>
      <c r="D355" s="4" t="s">
        <v>390</v>
      </c>
      <c r="E355" s="4" t="s">
        <v>391</v>
      </c>
      <c r="F355" s="4" t="s">
        <v>72</v>
      </c>
      <c r="G355" s="4" t="s">
        <v>408</v>
      </c>
      <c r="H355" s="5">
        <f>ROUND(21711,0)</f>
        <v>21711</v>
      </c>
      <c r="I355" s="6">
        <f>ROUND(28.52,2)</f>
        <v>28.52</v>
      </c>
      <c r="J355" s="6">
        <f>ROUND(6.12812423,2)</f>
        <v>6.13</v>
      </c>
      <c r="K355" s="5">
        <f>ROUND(3794520.55,0)</f>
        <v>3794521</v>
      </c>
      <c r="L355" s="7">
        <f>ROUND(0.00131875782240328,4)</f>
        <v>1.2999999999999999E-3</v>
      </c>
    </row>
    <row r="356" spans="1:12">
      <c r="A356" s="3" t="s">
        <v>758</v>
      </c>
      <c r="B356" s="4" t="s">
        <v>759</v>
      </c>
      <c r="C356" s="4" t="s">
        <v>415</v>
      </c>
      <c r="D356" s="4" t="s">
        <v>489</v>
      </c>
      <c r="E356" s="4" t="s">
        <v>490</v>
      </c>
      <c r="F356" s="4" t="s">
        <v>45</v>
      </c>
      <c r="G356" s="4" t="s">
        <v>408</v>
      </c>
      <c r="H356" s="5">
        <f>ROUND(10600,0)</f>
        <v>10600</v>
      </c>
      <c r="I356" s="6">
        <f>ROUND(4240,2)</f>
        <v>4240</v>
      </c>
      <c r="J356" s="6">
        <f>ROUND(8.407077,2)</f>
        <v>8.41</v>
      </c>
      <c r="K356" s="5">
        <f>ROUND(3778476.69,0)</f>
        <v>3778477</v>
      </c>
      <c r="L356" s="7">
        <f>ROUND(0.00131318189638107,4)</f>
        <v>1.2999999999999999E-3</v>
      </c>
    </row>
    <row r="357" spans="1:12">
      <c r="A357" s="3" t="s">
        <v>760</v>
      </c>
      <c r="B357" s="4" t="s">
        <v>761</v>
      </c>
      <c r="C357" s="4" t="s">
        <v>400</v>
      </c>
      <c r="D357" s="4" t="s">
        <v>407</v>
      </c>
      <c r="E357" s="4" t="s">
        <v>35</v>
      </c>
      <c r="F357" s="4" t="s">
        <v>21</v>
      </c>
      <c r="G357" s="4" t="s">
        <v>408</v>
      </c>
      <c r="H357" s="5">
        <f>ROUND(9721,0)</f>
        <v>9721</v>
      </c>
      <c r="I357" s="6">
        <f>ROUND(42.67,2)</f>
        <v>42.67</v>
      </c>
      <c r="J357" s="6">
        <f>ROUND(9.08595,2)</f>
        <v>9.09</v>
      </c>
      <c r="K357" s="5">
        <f>ROUND(3768807.27,0)</f>
        <v>3768807</v>
      </c>
      <c r="L357" s="7">
        <f>ROUND(0.00130982136028828,4)</f>
        <v>1.2999999999999999E-3</v>
      </c>
    </row>
    <row r="358" spans="1:12">
      <c r="A358" s="3" t="s">
        <v>762</v>
      </c>
      <c r="B358" s="4" t="s">
        <v>763</v>
      </c>
      <c r="C358" s="4" t="s">
        <v>534</v>
      </c>
      <c r="D358" s="4" t="s">
        <v>520</v>
      </c>
      <c r="E358" s="4" t="s">
        <v>521</v>
      </c>
      <c r="F358" s="4" t="s">
        <v>18</v>
      </c>
      <c r="G358" s="4" t="s">
        <v>408</v>
      </c>
      <c r="H358" s="5">
        <f>ROUND(4684,0)</f>
        <v>4684</v>
      </c>
      <c r="I358" s="6">
        <f>ROUND(80.5,2)</f>
        <v>80.5</v>
      </c>
      <c r="J358" s="6">
        <f>ROUND(9.9055,2)</f>
        <v>9.91</v>
      </c>
      <c r="K358" s="5">
        <f>ROUND(3734987.64,0)</f>
        <v>3734988</v>
      </c>
      <c r="L358" s="7">
        <f>ROUND(0.00129806759560956,4)</f>
        <v>1.2999999999999999E-3</v>
      </c>
    </row>
    <row r="359" spans="1:12">
      <c r="A359" s="3" t="s">
        <v>764</v>
      </c>
      <c r="B359" s="4" t="s">
        <v>765</v>
      </c>
      <c r="C359" s="4" t="s">
        <v>422</v>
      </c>
      <c r="D359" s="4" t="s">
        <v>766</v>
      </c>
      <c r="E359" s="4" t="s">
        <v>767</v>
      </c>
      <c r="F359" s="4" t="s">
        <v>768</v>
      </c>
      <c r="G359" s="4" t="s">
        <v>408</v>
      </c>
      <c r="H359" s="5">
        <f>ROUND(154100,0)</f>
        <v>154100</v>
      </c>
      <c r="I359" s="6">
        <f>ROUND(81.25,2)</f>
        <v>81.25</v>
      </c>
      <c r="J359" s="6">
        <f>ROUND(0.29707172,2)</f>
        <v>0.3</v>
      </c>
      <c r="K359" s="5">
        <f>ROUND(3719523.6,0)</f>
        <v>3719524</v>
      </c>
      <c r="L359" s="7">
        <f>ROUND(0.00129269318178119,4)</f>
        <v>1.2999999999999999E-3</v>
      </c>
    </row>
    <row r="360" spans="1:12">
      <c r="A360" s="3" t="s">
        <v>769</v>
      </c>
      <c r="B360" s="4" t="s">
        <v>770</v>
      </c>
      <c r="C360" s="4" t="s">
        <v>430</v>
      </c>
      <c r="D360" s="4" t="s">
        <v>771</v>
      </c>
      <c r="E360" s="4" t="s">
        <v>772</v>
      </c>
      <c r="F360" s="4" t="s">
        <v>18</v>
      </c>
      <c r="G360" s="4" t="s">
        <v>408</v>
      </c>
      <c r="H360" s="5">
        <f>ROUND(26701,0)</f>
        <v>26701</v>
      </c>
      <c r="I360" s="6">
        <f>ROUND(14.034,2)</f>
        <v>14.03</v>
      </c>
      <c r="J360" s="6">
        <f>ROUND(9.9055,2)</f>
        <v>9.91</v>
      </c>
      <c r="K360" s="5">
        <f>ROUND(3711807.09,0)</f>
        <v>3711807</v>
      </c>
      <c r="L360" s="7">
        <f>ROUND(0.00129001136525389,4)</f>
        <v>1.2999999999999999E-3</v>
      </c>
    </row>
    <row r="361" spans="1:12">
      <c r="A361" s="3" t="s">
        <v>773</v>
      </c>
      <c r="B361" s="4" t="s">
        <v>774</v>
      </c>
      <c r="C361" s="4" t="s">
        <v>400</v>
      </c>
      <c r="D361" s="4" t="s">
        <v>723</v>
      </c>
      <c r="E361" s="4" t="s">
        <v>724</v>
      </c>
      <c r="F361" s="4" t="s">
        <v>18</v>
      </c>
      <c r="G361" s="4" t="s">
        <v>408</v>
      </c>
      <c r="H361" s="5">
        <f>ROUND(100034,0)</f>
        <v>100034</v>
      </c>
      <c r="I361" s="6">
        <f>ROUND(3.7365,2)</f>
        <v>3.74</v>
      </c>
      <c r="J361" s="6">
        <f>ROUND(9.9055,2)</f>
        <v>9.91</v>
      </c>
      <c r="K361" s="5">
        <f>ROUND(3702448.47,0)</f>
        <v>3702448</v>
      </c>
      <c r="L361" s="7">
        <f>ROUND(0.0012867588454245,4)</f>
        <v>1.2999999999999999E-3</v>
      </c>
    </row>
    <row r="362" spans="1:12">
      <c r="A362" s="3" t="s">
        <v>775</v>
      </c>
      <c r="B362" s="4" t="s">
        <v>776</v>
      </c>
      <c r="C362" s="4" t="s">
        <v>430</v>
      </c>
      <c r="D362" s="4" t="s">
        <v>407</v>
      </c>
      <c r="E362" s="4" t="s">
        <v>35</v>
      </c>
      <c r="F362" s="4" t="s">
        <v>21</v>
      </c>
      <c r="G362" s="4" t="s">
        <v>408</v>
      </c>
      <c r="H362" s="5">
        <f>ROUND(19613,0)</f>
        <v>19613</v>
      </c>
      <c r="I362" s="6">
        <f>ROUND(20.61,2)</f>
        <v>20.61</v>
      </c>
      <c r="J362" s="6">
        <f>ROUND(9.08595,2)</f>
        <v>9.09</v>
      </c>
      <c r="K362" s="5">
        <f>ROUND(3672758.42,0)</f>
        <v>3672758</v>
      </c>
      <c r="L362" s="7">
        <f>ROUND(0.00127644028602573,4)</f>
        <v>1.2999999999999999E-3</v>
      </c>
    </row>
    <row r="363" spans="1:12">
      <c r="A363" s="3" t="s">
        <v>777</v>
      </c>
      <c r="B363" s="4" t="s">
        <v>778</v>
      </c>
      <c r="C363" s="4" t="s">
        <v>566</v>
      </c>
      <c r="D363" s="4" t="s">
        <v>407</v>
      </c>
      <c r="E363" s="4" t="s">
        <v>35</v>
      </c>
      <c r="F363" s="4" t="s">
        <v>21</v>
      </c>
      <c r="G363" s="4" t="s">
        <v>408</v>
      </c>
      <c r="H363" s="5">
        <f>ROUND(2906,0)</f>
        <v>2906</v>
      </c>
      <c r="I363" s="6">
        <f>ROUND(139.01,2)</f>
        <v>139.01</v>
      </c>
      <c r="J363" s="6">
        <f>ROUND(9.08595,2)</f>
        <v>9.09</v>
      </c>
      <c r="K363" s="5">
        <f>ROUND(3670388.17,0)</f>
        <v>3670388</v>
      </c>
      <c r="L363" s="7">
        <f>ROUND(0.00127561652300024,4)</f>
        <v>1.2999999999999999E-3</v>
      </c>
    </row>
    <row r="364" spans="1:12">
      <c r="A364" s="3" t="s">
        <v>779</v>
      </c>
      <c r="B364" s="4" t="s">
        <v>780</v>
      </c>
      <c r="C364" s="4" t="s">
        <v>493</v>
      </c>
      <c r="D364" s="4" t="s">
        <v>407</v>
      </c>
      <c r="E364" s="4" t="s">
        <v>35</v>
      </c>
      <c r="F364" s="4" t="s">
        <v>21</v>
      </c>
      <c r="G364" s="4" t="s">
        <v>408</v>
      </c>
      <c r="H364" s="5">
        <f>ROUND(3382,0)</f>
        <v>3382</v>
      </c>
      <c r="I364" s="6">
        <f>ROUND(117.36,2)</f>
        <v>117.36</v>
      </c>
      <c r="J364" s="6">
        <f>ROUND(9.08595,2)</f>
        <v>9.09</v>
      </c>
      <c r="K364" s="5">
        <f>ROUND(3606318.23,0)</f>
        <v>3606318</v>
      </c>
      <c r="L364" s="7">
        <f>ROUND(0.00125334948466363,4)</f>
        <v>1.2999999999999999E-3</v>
      </c>
    </row>
    <row r="365" spans="1:12">
      <c r="A365" s="3" t="s">
        <v>781</v>
      </c>
      <c r="B365" s="4" t="s">
        <v>782</v>
      </c>
      <c r="C365" s="4" t="s">
        <v>400</v>
      </c>
      <c r="D365" s="4" t="s">
        <v>514</v>
      </c>
      <c r="E365" s="4" t="s">
        <v>515</v>
      </c>
      <c r="F365" s="4" t="s">
        <v>190</v>
      </c>
      <c r="G365" s="4" t="s">
        <v>408</v>
      </c>
      <c r="H365" s="5">
        <f>ROUND(5315,0)</f>
        <v>5315</v>
      </c>
      <c r="I365" s="6">
        <f>ROUND(97.58,2)</f>
        <v>97.58</v>
      </c>
      <c r="J365" s="6">
        <f>ROUND(6.86237833,2)</f>
        <v>6.86</v>
      </c>
      <c r="K365" s="5">
        <f>ROUND(3559088.11,0)</f>
        <v>3559088</v>
      </c>
      <c r="L365" s="7">
        <f>ROUND(0.00123693500241684,4)</f>
        <v>1.1999999999999999E-3</v>
      </c>
    </row>
    <row r="366" spans="1:12">
      <c r="A366" s="3" t="s">
        <v>783</v>
      </c>
      <c r="B366" s="4" t="s">
        <v>784</v>
      </c>
      <c r="C366" s="4" t="s">
        <v>545</v>
      </c>
      <c r="D366" s="4" t="s">
        <v>407</v>
      </c>
      <c r="E366" s="4" t="s">
        <v>35</v>
      </c>
      <c r="F366" s="4" t="s">
        <v>21</v>
      </c>
      <c r="G366" s="4" t="s">
        <v>408</v>
      </c>
      <c r="H366" s="5">
        <f>ROUND(5485,0)</f>
        <v>5485</v>
      </c>
      <c r="I366" s="6">
        <f>ROUND(71.31,2)</f>
        <v>71.31</v>
      </c>
      <c r="J366" s="6">
        <f>ROUND(9.08595,2)</f>
        <v>9.09</v>
      </c>
      <c r="K366" s="5">
        <f>ROUND(3553836.23,0)</f>
        <v>3553836</v>
      </c>
      <c r="L366" s="7">
        <f>ROUND(0.0012351097499927,4)</f>
        <v>1.1999999999999999E-3</v>
      </c>
    </row>
    <row r="367" spans="1:12">
      <c r="A367" s="3" t="s">
        <v>785</v>
      </c>
      <c r="B367" s="4" t="s">
        <v>786</v>
      </c>
      <c r="C367" s="4" t="s">
        <v>445</v>
      </c>
      <c r="D367" s="4" t="s">
        <v>407</v>
      </c>
      <c r="E367" s="4" t="s">
        <v>35</v>
      </c>
      <c r="F367" s="4" t="s">
        <v>21</v>
      </c>
      <c r="G367" s="4" t="s">
        <v>408</v>
      </c>
      <c r="H367" s="5">
        <f>ROUND(9563,0)</f>
        <v>9563</v>
      </c>
      <c r="I367" s="6">
        <f>ROUND(40.69,2)</f>
        <v>40.69</v>
      </c>
      <c r="J367" s="6">
        <f>ROUND(9.08595,2)</f>
        <v>9.09</v>
      </c>
      <c r="K367" s="5">
        <f>ROUND(3535510.96,0)</f>
        <v>3535511</v>
      </c>
      <c r="L367" s="7">
        <f>ROUND(0.00122874093663626,4)</f>
        <v>1.1999999999999999E-3</v>
      </c>
    </row>
    <row r="368" spans="1:12">
      <c r="A368" s="3" t="s">
        <v>787</v>
      </c>
      <c r="B368" s="4" t="s">
        <v>788</v>
      </c>
      <c r="C368" s="4" t="s">
        <v>430</v>
      </c>
      <c r="D368" s="4" t="s">
        <v>789</v>
      </c>
      <c r="E368" s="4" t="s">
        <v>790</v>
      </c>
      <c r="F368" s="4" t="s">
        <v>791</v>
      </c>
      <c r="G368" s="4" t="s">
        <v>408</v>
      </c>
      <c r="H368" s="5">
        <f>ROUND(20648,0)</f>
        <v>20648</v>
      </c>
      <c r="I368" s="6">
        <f>ROUND(1332.25,2)</f>
        <v>1332.25</v>
      </c>
      <c r="J368" s="6">
        <f>ROUND(0.12820804,2)</f>
        <v>0.13</v>
      </c>
      <c r="K368" s="5">
        <f>ROUND(3526784.97,0)</f>
        <v>3526785</v>
      </c>
      <c r="L368" s="7">
        <f>ROUND(0.00122570828272937,4)</f>
        <v>1.1999999999999999E-3</v>
      </c>
    </row>
    <row r="369" spans="1:12">
      <c r="A369" s="3" t="s">
        <v>792</v>
      </c>
      <c r="B369" s="4" t="s">
        <v>793</v>
      </c>
      <c r="C369" s="4" t="s">
        <v>445</v>
      </c>
      <c r="D369" s="4" t="s">
        <v>407</v>
      </c>
      <c r="E369" s="4" t="s">
        <v>35</v>
      </c>
      <c r="F369" s="4" t="s">
        <v>21</v>
      </c>
      <c r="G369" s="4" t="s">
        <v>408</v>
      </c>
      <c r="H369" s="5">
        <f>ROUND(2537,0)</f>
        <v>2537</v>
      </c>
      <c r="I369" s="6">
        <f>ROUND(151.79,2)</f>
        <v>151.79</v>
      </c>
      <c r="J369" s="6">
        <f>ROUND(9.08595,2)</f>
        <v>9.09</v>
      </c>
      <c r="K369" s="5">
        <f>ROUND(3498919.66,0)</f>
        <v>3498920</v>
      </c>
      <c r="L369" s="7">
        <f>ROUND(0.00121602389835143,4)</f>
        <v>1.1999999999999999E-3</v>
      </c>
    </row>
    <row r="370" spans="1:12">
      <c r="A370" s="3" t="s">
        <v>794</v>
      </c>
      <c r="B370" s="4" t="s">
        <v>795</v>
      </c>
      <c r="C370" s="4" t="s">
        <v>415</v>
      </c>
      <c r="D370" s="4" t="s">
        <v>552</v>
      </c>
      <c r="E370" s="4" t="s">
        <v>553</v>
      </c>
      <c r="F370" s="4" t="s">
        <v>26</v>
      </c>
      <c r="G370" s="4" t="s">
        <v>408</v>
      </c>
      <c r="H370" s="5">
        <f>ROUND(46500,0)</f>
        <v>46500</v>
      </c>
      <c r="I370" s="6">
        <f>ROUND(64.85,2)</f>
        <v>64.849999999999994</v>
      </c>
      <c r="J370" s="6">
        <f>ROUND(1.15901246,2)</f>
        <v>1.1599999999999999</v>
      </c>
      <c r="K370" s="5">
        <f>ROUND(3495031.05,0)</f>
        <v>3495031</v>
      </c>
      <c r="L370" s="7">
        <f>ROUND(0.00121467244042988,4)</f>
        <v>1.1999999999999999E-3</v>
      </c>
    </row>
    <row r="371" spans="1:12">
      <c r="A371" s="3" t="s">
        <v>796</v>
      </c>
      <c r="B371" s="4" t="s">
        <v>797</v>
      </c>
      <c r="C371" s="4" t="s">
        <v>400</v>
      </c>
      <c r="D371" s="4" t="s">
        <v>407</v>
      </c>
      <c r="E371" s="4" t="s">
        <v>35</v>
      </c>
      <c r="F371" s="4" t="s">
        <v>21</v>
      </c>
      <c r="G371" s="4" t="s">
        <v>408</v>
      </c>
      <c r="H371" s="5">
        <f>ROUND(6860,0)</f>
        <v>6860</v>
      </c>
      <c r="I371" s="6">
        <f>ROUND(55.7,2)</f>
        <v>55.7</v>
      </c>
      <c r="J371" s="6">
        <f>ROUND(9.08595,2)</f>
        <v>9.09</v>
      </c>
      <c r="K371" s="5">
        <f>ROUND(3471759.67,0)</f>
        <v>3471760</v>
      </c>
      <c r="L371" s="7">
        <f>ROUND(0.00120658464277304,4)</f>
        <v>1.1999999999999999E-3</v>
      </c>
    </row>
    <row r="372" spans="1:12">
      <c r="A372" s="3" t="s">
        <v>798</v>
      </c>
      <c r="B372" s="4" t="s">
        <v>799</v>
      </c>
      <c r="C372" s="4" t="s">
        <v>445</v>
      </c>
      <c r="D372" s="4" t="s">
        <v>577</v>
      </c>
      <c r="E372" s="4" t="s">
        <v>578</v>
      </c>
      <c r="F372" s="4" t="s">
        <v>18</v>
      </c>
      <c r="G372" s="4" t="s">
        <v>408</v>
      </c>
      <c r="H372" s="5">
        <f>ROUND(8242,0)</f>
        <v>8242</v>
      </c>
      <c r="I372" s="6">
        <f>ROUND(42.5,2)</f>
        <v>42.5</v>
      </c>
      <c r="J372" s="6">
        <f>ROUND(9.9055,2)</f>
        <v>9.91</v>
      </c>
      <c r="K372" s="5">
        <f>ROUND(3469748.07,0)</f>
        <v>3469748</v>
      </c>
      <c r="L372" s="7">
        <f>ROUND(0.00120588552592795,4)</f>
        <v>1.1999999999999999E-3</v>
      </c>
    </row>
    <row r="373" spans="1:12">
      <c r="A373" s="3" t="s">
        <v>800</v>
      </c>
      <c r="B373" s="4" t="s">
        <v>801</v>
      </c>
      <c r="C373" s="4" t="s">
        <v>534</v>
      </c>
      <c r="D373" s="4" t="s">
        <v>407</v>
      </c>
      <c r="E373" s="4" t="s">
        <v>35</v>
      </c>
      <c r="F373" s="4" t="s">
        <v>21</v>
      </c>
      <c r="G373" s="4" t="s">
        <v>408</v>
      </c>
      <c r="H373" s="5">
        <f>ROUND(5500,0)</f>
        <v>5500</v>
      </c>
      <c r="I373" s="6">
        <f>ROUND(69.27,2)</f>
        <v>69.27</v>
      </c>
      <c r="J373" s="6">
        <f>ROUND(9.08595,2)</f>
        <v>9.09</v>
      </c>
      <c r="K373" s="5">
        <f>ROUND(3461610.66,0)</f>
        <v>3461611</v>
      </c>
      <c r="L373" s="7">
        <f>ROUND(0.00120305742868874,4)</f>
        <v>1.1999999999999999E-3</v>
      </c>
    </row>
    <row r="374" spans="1:12">
      <c r="A374" s="3" t="s">
        <v>802</v>
      </c>
      <c r="B374" s="4" t="s">
        <v>803</v>
      </c>
      <c r="C374" s="4" t="s">
        <v>545</v>
      </c>
      <c r="D374" s="4" t="s">
        <v>486</v>
      </c>
      <c r="E374" s="4" t="s">
        <v>30</v>
      </c>
      <c r="F374" s="4" t="s">
        <v>20</v>
      </c>
      <c r="G374" s="4" t="s">
        <v>408</v>
      </c>
      <c r="H374" s="5">
        <f>ROUND(34387,0)</f>
        <v>34387</v>
      </c>
      <c r="I374" s="6">
        <f>ROUND(899,2)</f>
        <v>899</v>
      </c>
      <c r="J374" s="6">
        <f>ROUND(11.19645077,2)</f>
        <v>11.2</v>
      </c>
      <c r="K374" s="5">
        <f>ROUND(3461261.05,0)</f>
        <v>3461261</v>
      </c>
      <c r="L374" s="7">
        <f>ROUND(0.00120293592429412,4)</f>
        <v>1.1999999999999999E-3</v>
      </c>
    </row>
    <row r="375" spans="1:12">
      <c r="A375" s="3" t="s">
        <v>804</v>
      </c>
      <c r="B375" s="4" t="s">
        <v>805</v>
      </c>
      <c r="C375" s="4" t="s">
        <v>445</v>
      </c>
      <c r="D375" s="4" t="s">
        <v>496</v>
      </c>
      <c r="E375" s="4" t="s">
        <v>497</v>
      </c>
      <c r="F375" s="4" t="s">
        <v>21</v>
      </c>
      <c r="G375" s="4" t="s">
        <v>408</v>
      </c>
      <c r="H375" s="5">
        <f>ROUND(2255,0)</f>
        <v>2255</v>
      </c>
      <c r="I375" s="6">
        <f>ROUND(168.29,2)</f>
        <v>168.29</v>
      </c>
      <c r="J375" s="6">
        <f>ROUND(9.08595,2)</f>
        <v>9.09</v>
      </c>
      <c r="K375" s="5">
        <f>ROUND(3448063.06,0)</f>
        <v>3448063</v>
      </c>
      <c r="L375" s="7">
        <f>ROUND(0.0011983490595445,4)</f>
        <v>1.1999999999999999E-3</v>
      </c>
    </row>
    <row r="376" spans="1:12">
      <c r="A376" s="3" t="s">
        <v>806</v>
      </c>
      <c r="B376" s="4" t="s">
        <v>807</v>
      </c>
      <c r="C376" s="4" t="s">
        <v>430</v>
      </c>
      <c r="D376" s="4" t="s">
        <v>808</v>
      </c>
      <c r="E376" s="4" t="s">
        <v>809</v>
      </c>
      <c r="F376" s="4" t="s">
        <v>21</v>
      </c>
      <c r="G376" s="4" t="s">
        <v>408</v>
      </c>
      <c r="H376" s="5">
        <f>ROUND(11072,0)</f>
        <v>11072</v>
      </c>
      <c r="I376" s="6">
        <f>ROUND(34.17,2)</f>
        <v>34.17</v>
      </c>
      <c r="J376" s="6">
        <f>ROUND(9.08595,2)</f>
        <v>9.09</v>
      </c>
      <c r="K376" s="5">
        <f>ROUND(3437489.64,0)</f>
        <v>3437490</v>
      </c>
      <c r="L376" s="7">
        <f>ROUND(0.00119467434487349,4)</f>
        <v>1.1999999999999999E-3</v>
      </c>
    </row>
    <row r="377" spans="1:12">
      <c r="A377" s="3" t="s">
        <v>810</v>
      </c>
      <c r="B377" s="4" t="s">
        <v>811</v>
      </c>
      <c r="C377" s="4" t="s">
        <v>534</v>
      </c>
      <c r="D377" s="4" t="s">
        <v>407</v>
      </c>
      <c r="E377" s="4" t="s">
        <v>35</v>
      </c>
      <c r="F377" s="4" t="s">
        <v>21</v>
      </c>
      <c r="G377" s="4" t="s">
        <v>408</v>
      </c>
      <c r="H377" s="5">
        <f>ROUND(2094,0)</f>
        <v>2094</v>
      </c>
      <c r="I377" s="6">
        <f>ROUND(180.61,2)</f>
        <v>180.61</v>
      </c>
      <c r="J377" s="6">
        <f>ROUND(9.08595,2)</f>
        <v>9.09</v>
      </c>
      <c r="K377" s="5">
        <f>ROUND(3436282.12,0)</f>
        <v>3436282</v>
      </c>
      <c r="L377" s="7">
        <f>ROUND(0.00119425468014253,4)</f>
        <v>1.1999999999999999E-3</v>
      </c>
    </row>
    <row r="378" spans="1:12">
      <c r="A378" s="3" t="s">
        <v>812</v>
      </c>
      <c r="B378" s="4" t="s">
        <v>813</v>
      </c>
      <c r="C378" s="4" t="s">
        <v>566</v>
      </c>
      <c r="D378" s="4" t="s">
        <v>407</v>
      </c>
      <c r="E378" s="4" t="s">
        <v>35</v>
      </c>
      <c r="F378" s="4" t="s">
        <v>21</v>
      </c>
      <c r="G378" s="4" t="s">
        <v>408</v>
      </c>
      <c r="H378" s="5">
        <f>ROUND(1535,0)</f>
        <v>1535</v>
      </c>
      <c r="I378" s="6">
        <f>ROUND(245.27,2)</f>
        <v>245.27</v>
      </c>
      <c r="J378" s="6">
        <f>ROUND(9.08595,2)</f>
        <v>9.09</v>
      </c>
      <c r="K378" s="5">
        <f>ROUND(3420764.32,0)</f>
        <v>3420764</v>
      </c>
      <c r="L378" s="7">
        <f>ROUND(0.00118886158241995,4)</f>
        <v>1.1999999999999999E-3</v>
      </c>
    </row>
    <row r="379" spans="1:12">
      <c r="A379" s="3" t="s">
        <v>814</v>
      </c>
      <c r="B379" s="4" t="s">
        <v>815</v>
      </c>
      <c r="C379" s="4" t="s">
        <v>566</v>
      </c>
      <c r="D379" s="4" t="s">
        <v>407</v>
      </c>
      <c r="E379" s="4" t="s">
        <v>35</v>
      </c>
      <c r="F379" s="4" t="s">
        <v>21</v>
      </c>
      <c r="G379" s="4" t="s">
        <v>408</v>
      </c>
      <c r="H379" s="5">
        <f>ROUND(2417,0)</f>
        <v>2417</v>
      </c>
      <c r="I379" s="6">
        <f>ROUND(155.65,2)</f>
        <v>155.65</v>
      </c>
      <c r="J379" s="6">
        <f>ROUND(9.08595,2)</f>
        <v>9.09</v>
      </c>
      <c r="K379" s="5">
        <f>ROUND(3418189.36,0)</f>
        <v>3418189</v>
      </c>
      <c r="L379" s="7">
        <f>ROUND(0.00118796667393346,4)</f>
        <v>1.1999999999999999E-3</v>
      </c>
    </row>
    <row r="380" spans="1:12">
      <c r="A380" s="3" t="s">
        <v>816</v>
      </c>
      <c r="B380" s="4" t="s">
        <v>817</v>
      </c>
      <c r="C380" s="4" t="s">
        <v>545</v>
      </c>
      <c r="D380" s="4" t="s">
        <v>520</v>
      </c>
      <c r="E380" s="4" t="s">
        <v>521</v>
      </c>
      <c r="F380" s="4" t="s">
        <v>18</v>
      </c>
      <c r="G380" s="4" t="s">
        <v>408</v>
      </c>
      <c r="H380" s="5">
        <f>ROUND(2638,0)</f>
        <v>2638</v>
      </c>
      <c r="I380" s="6">
        <f>ROUND(130.6,2)</f>
        <v>130.6</v>
      </c>
      <c r="J380" s="6">
        <f>ROUND(9.9055,2)</f>
        <v>9.91</v>
      </c>
      <c r="K380" s="5">
        <f>ROUND(3412670.6,0)</f>
        <v>3412671</v>
      </c>
      <c r="L380" s="7">
        <f>ROUND(0.00118604866932021,4)</f>
        <v>1.1999999999999999E-3</v>
      </c>
    </row>
    <row r="381" spans="1:12">
      <c r="A381" s="3" t="s">
        <v>818</v>
      </c>
      <c r="B381" s="4" t="s">
        <v>819</v>
      </c>
      <c r="C381" s="4" t="s">
        <v>400</v>
      </c>
      <c r="D381" s="4" t="s">
        <v>514</v>
      </c>
      <c r="E381" s="4" t="s">
        <v>515</v>
      </c>
      <c r="F381" s="4" t="s">
        <v>190</v>
      </c>
      <c r="G381" s="4" t="s">
        <v>408</v>
      </c>
      <c r="H381" s="5">
        <f>ROUND(4536,0)</f>
        <v>4536</v>
      </c>
      <c r="I381" s="6">
        <f>ROUND(109.31,2)</f>
        <v>109.31</v>
      </c>
      <c r="J381" s="6">
        <f>ROUND(6.86237833,2)</f>
        <v>6.86</v>
      </c>
      <c r="K381" s="5">
        <f>ROUND(3402574.15,0)</f>
        <v>3402574</v>
      </c>
      <c r="L381" s="7">
        <f>ROUND(0.0011825397220789,4)</f>
        <v>1.1999999999999999E-3</v>
      </c>
    </row>
    <row r="382" spans="1:12">
      <c r="A382" s="3" t="s">
        <v>820</v>
      </c>
      <c r="B382" s="4" t="s">
        <v>821</v>
      </c>
      <c r="C382" s="4" t="s">
        <v>545</v>
      </c>
      <c r="D382" s="4" t="s">
        <v>407</v>
      </c>
      <c r="E382" s="4" t="s">
        <v>35</v>
      </c>
      <c r="F382" s="4" t="s">
        <v>21</v>
      </c>
      <c r="G382" s="4" t="s">
        <v>408</v>
      </c>
      <c r="H382" s="5">
        <f>ROUND(5093,0)</f>
        <v>5093</v>
      </c>
      <c r="I382" s="6">
        <f>ROUND(72.81,2)</f>
        <v>72.81</v>
      </c>
      <c r="J382" s="6">
        <f>ROUND(9.08595,2)</f>
        <v>9.09</v>
      </c>
      <c r="K382" s="5">
        <f>ROUND(3369264.06,0)</f>
        <v>3369264</v>
      </c>
      <c r="L382" s="7">
        <f>ROUND(0.00117096304429481,4)</f>
        <v>1.1999999999999999E-3</v>
      </c>
    </row>
    <row r="383" spans="1:12">
      <c r="A383" s="3" t="s">
        <v>822</v>
      </c>
      <c r="B383" s="4" t="s">
        <v>823</v>
      </c>
      <c r="C383" s="4" t="s">
        <v>400</v>
      </c>
      <c r="D383" s="4" t="s">
        <v>407</v>
      </c>
      <c r="E383" s="4" t="s">
        <v>35</v>
      </c>
      <c r="F383" s="4" t="s">
        <v>21</v>
      </c>
      <c r="G383" s="4" t="s">
        <v>408</v>
      </c>
      <c r="H383" s="5">
        <f>ROUND(3997,0)</f>
        <v>3997</v>
      </c>
      <c r="I383" s="6">
        <f>ROUND(92.27,2)</f>
        <v>92.27</v>
      </c>
      <c r="J383" s="6">
        <f>ROUND(9.08595,2)</f>
        <v>9.09</v>
      </c>
      <c r="K383" s="5">
        <f>ROUND(3350927.34,0)</f>
        <v>3350927</v>
      </c>
      <c r="L383" s="7">
        <f>ROUND(0.00116459025157474,4)</f>
        <v>1.1999999999999999E-3</v>
      </c>
    </row>
    <row r="384" spans="1:12">
      <c r="A384" s="3" t="s">
        <v>824</v>
      </c>
      <c r="B384" s="4" t="s">
        <v>825</v>
      </c>
      <c r="C384" s="4" t="s">
        <v>430</v>
      </c>
      <c r="D384" s="4" t="s">
        <v>766</v>
      </c>
      <c r="E384" s="4" t="s">
        <v>767</v>
      </c>
      <c r="F384" s="4" t="s">
        <v>768</v>
      </c>
      <c r="G384" s="4" t="s">
        <v>408</v>
      </c>
      <c r="H384" s="5">
        <f>ROUND(242800,0)</f>
        <v>242800</v>
      </c>
      <c r="I384" s="6">
        <f>ROUND(46.25,2)</f>
        <v>46.25</v>
      </c>
      <c r="J384" s="6">
        <f>ROUND(0.29707172,2)</f>
        <v>0.3</v>
      </c>
      <c r="K384" s="5">
        <f>ROUND(3335966.88,0)</f>
        <v>3335967</v>
      </c>
      <c r="L384" s="7">
        <f>ROUND(0.00115939085328666,4)</f>
        <v>1.1999999999999999E-3</v>
      </c>
    </row>
    <row r="385" spans="1:12">
      <c r="A385" s="3" t="s">
        <v>826</v>
      </c>
      <c r="B385" s="4" t="s">
        <v>827</v>
      </c>
      <c r="C385" s="4" t="s">
        <v>389</v>
      </c>
      <c r="D385" s="4" t="s">
        <v>541</v>
      </c>
      <c r="E385" s="4" t="s">
        <v>542</v>
      </c>
      <c r="F385" s="4" t="s">
        <v>18</v>
      </c>
      <c r="G385" s="4" t="s">
        <v>408</v>
      </c>
      <c r="H385" s="5">
        <f>ROUND(1175,0)</f>
        <v>1175</v>
      </c>
      <c r="I385" s="6">
        <f>ROUND(285.65,2)</f>
        <v>285.64999999999998</v>
      </c>
      <c r="J385" s="6">
        <f>ROUND(9.9055,2)</f>
        <v>9.91</v>
      </c>
      <c r="K385" s="5">
        <f>ROUND(3324669.64,0)</f>
        <v>3324670</v>
      </c>
      <c r="L385" s="7">
        <f>ROUND(0.0011554645802766,4)</f>
        <v>1.1999999999999999E-3</v>
      </c>
    </row>
    <row r="386" spans="1:12">
      <c r="A386" s="3" t="s">
        <v>828</v>
      </c>
      <c r="B386" s="4" t="s">
        <v>829</v>
      </c>
      <c r="C386" s="4" t="s">
        <v>422</v>
      </c>
      <c r="D386" s="4" t="s">
        <v>407</v>
      </c>
      <c r="E386" s="4" t="s">
        <v>35</v>
      </c>
      <c r="F386" s="4" t="s">
        <v>21</v>
      </c>
      <c r="G386" s="4" t="s">
        <v>408</v>
      </c>
      <c r="H386" s="5">
        <f>ROUND(1834,0)</f>
        <v>1834</v>
      </c>
      <c r="I386" s="6">
        <f>ROUND(198.95,2)</f>
        <v>198.95</v>
      </c>
      <c r="J386" s="6">
        <f>ROUND(9.08595,2)</f>
        <v>9.09</v>
      </c>
      <c r="K386" s="5">
        <f>ROUND(3315229.65,0)</f>
        <v>3315230</v>
      </c>
      <c r="L386" s="7">
        <f>ROUND(0.00115218378089974,4)</f>
        <v>1.1999999999999999E-3</v>
      </c>
    </row>
    <row r="387" spans="1:12">
      <c r="A387" s="3" t="s">
        <v>830</v>
      </c>
      <c r="B387" s="4" t="s">
        <v>831</v>
      </c>
      <c r="C387" s="4" t="s">
        <v>400</v>
      </c>
      <c r="D387" s="4" t="s">
        <v>514</v>
      </c>
      <c r="E387" s="4" t="s">
        <v>515</v>
      </c>
      <c r="F387" s="4" t="s">
        <v>190</v>
      </c>
      <c r="G387" s="4" t="s">
        <v>408</v>
      </c>
      <c r="H387" s="5">
        <f>ROUND(19666,0)</f>
        <v>19666</v>
      </c>
      <c r="I387" s="6">
        <f>ROUND(24.3,2)</f>
        <v>24.3</v>
      </c>
      <c r="J387" s="6">
        <f>ROUND(6.86237833,2)</f>
        <v>6.86</v>
      </c>
      <c r="K387" s="5">
        <f>ROUND(3279419.43,0)</f>
        <v>3279419</v>
      </c>
      <c r="L387" s="7">
        <f>ROUND(0.00113973820124753,4)</f>
        <v>1.1000000000000001E-3</v>
      </c>
    </row>
    <row r="388" spans="1:12">
      <c r="A388" s="3" t="s">
        <v>832</v>
      </c>
      <c r="B388" s="4" t="s">
        <v>833</v>
      </c>
      <c r="C388" s="4" t="s">
        <v>400</v>
      </c>
      <c r="D388" s="4" t="s">
        <v>407</v>
      </c>
      <c r="E388" s="4" t="s">
        <v>35</v>
      </c>
      <c r="F388" s="4" t="s">
        <v>21</v>
      </c>
      <c r="G388" s="4" t="s">
        <v>408</v>
      </c>
      <c r="H388" s="5">
        <f>ROUND(4621,0)</f>
        <v>4621</v>
      </c>
      <c r="I388" s="6">
        <f>ROUND(77.25,2)</f>
        <v>77.25</v>
      </c>
      <c r="J388" s="6">
        <f>ROUND(9.08595,2)</f>
        <v>9.09</v>
      </c>
      <c r="K388" s="5">
        <f>ROUND(3243432.01,0)</f>
        <v>3243432</v>
      </c>
      <c r="L388" s="7">
        <f>ROUND(0.0011272310370333,4)</f>
        <v>1.1000000000000001E-3</v>
      </c>
    </row>
    <row r="389" spans="1:12">
      <c r="A389" s="3" t="s">
        <v>834</v>
      </c>
      <c r="B389" s="4" t="s">
        <v>835</v>
      </c>
      <c r="C389" s="4" t="s">
        <v>545</v>
      </c>
      <c r="D389" s="4" t="s">
        <v>836</v>
      </c>
      <c r="E389" s="4" t="s">
        <v>837</v>
      </c>
      <c r="F389" s="4" t="s">
        <v>21</v>
      </c>
      <c r="G389" s="4" t="s">
        <v>408</v>
      </c>
      <c r="H389" s="5">
        <f>ROUND(27765,0)</f>
        <v>27765</v>
      </c>
      <c r="I389" s="6">
        <f>ROUND(12.77,2)</f>
        <v>12.77</v>
      </c>
      <c r="J389" s="6">
        <f>ROUND(9.08595,2)</f>
        <v>9.09</v>
      </c>
      <c r="K389" s="5">
        <f>ROUND(3221505.8,0)</f>
        <v>3221506</v>
      </c>
      <c r="L389" s="7">
        <f>ROUND(0.00111961074335663,4)</f>
        <v>1.1000000000000001E-3</v>
      </c>
    </row>
    <row r="390" spans="1:12">
      <c r="A390" s="3" t="s">
        <v>838</v>
      </c>
      <c r="B390" s="4" t="s">
        <v>839</v>
      </c>
      <c r="C390" s="4" t="s">
        <v>406</v>
      </c>
      <c r="D390" s="4" t="s">
        <v>407</v>
      </c>
      <c r="E390" s="4" t="s">
        <v>35</v>
      </c>
      <c r="F390" s="4" t="s">
        <v>21</v>
      </c>
      <c r="G390" s="4" t="s">
        <v>408</v>
      </c>
      <c r="H390" s="5">
        <f>ROUND(2229,0)</f>
        <v>2229</v>
      </c>
      <c r="I390" s="6">
        <f>ROUND(159,2)</f>
        <v>159</v>
      </c>
      <c r="J390" s="6">
        <f>ROUND(9.08595,2)</f>
        <v>9.09</v>
      </c>
      <c r="K390" s="5">
        <f>ROUND(3220160.63,0)</f>
        <v>3220161</v>
      </c>
      <c r="L390" s="7">
        <f>ROUND(0.00111914323937646,4)</f>
        <v>1.1000000000000001E-3</v>
      </c>
    </row>
    <row r="391" spans="1:12">
      <c r="A391" s="3" t="s">
        <v>840</v>
      </c>
      <c r="B391" s="4" t="s">
        <v>841</v>
      </c>
      <c r="C391" s="4" t="s">
        <v>406</v>
      </c>
      <c r="D391" s="4" t="s">
        <v>407</v>
      </c>
      <c r="E391" s="4" t="s">
        <v>35</v>
      </c>
      <c r="F391" s="4" t="s">
        <v>21</v>
      </c>
      <c r="G391" s="4" t="s">
        <v>408</v>
      </c>
      <c r="H391" s="5">
        <f>ROUND(1384,0)</f>
        <v>1384</v>
      </c>
      <c r="I391" s="6">
        <f>ROUND(253.85,2)</f>
        <v>253.85</v>
      </c>
      <c r="J391" s="6">
        <f>ROUND(9.08595,2)</f>
        <v>9.09</v>
      </c>
      <c r="K391" s="5">
        <f>ROUND(3192152.28,0)</f>
        <v>3192152</v>
      </c>
      <c r="L391" s="7">
        <f>ROUND(0.00110940914249429,4)</f>
        <v>1.1000000000000001E-3</v>
      </c>
    </row>
    <row r="392" spans="1:12">
      <c r="A392" s="3" t="s">
        <v>842</v>
      </c>
      <c r="B392" s="4" t="s">
        <v>843</v>
      </c>
      <c r="C392" s="4" t="s">
        <v>534</v>
      </c>
      <c r="D392" s="4" t="s">
        <v>407</v>
      </c>
      <c r="E392" s="4" t="s">
        <v>35</v>
      </c>
      <c r="F392" s="4" t="s">
        <v>21</v>
      </c>
      <c r="G392" s="4" t="s">
        <v>408</v>
      </c>
      <c r="H392" s="5">
        <f>ROUND(976,0)</f>
        <v>976</v>
      </c>
      <c r="I392" s="6">
        <f>ROUND(356.6,2)</f>
        <v>356.6</v>
      </c>
      <c r="J392" s="6">
        <f>ROUND(9.08595,2)</f>
        <v>9.09</v>
      </c>
      <c r="K392" s="5">
        <f>ROUND(3162288.58,0)</f>
        <v>3162289</v>
      </c>
      <c r="L392" s="7">
        <f>ROUND(0.00109903023231,4)</f>
        <v>1.1000000000000001E-3</v>
      </c>
    </row>
    <row r="393" spans="1:12">
      <c r="A393" s="3" t="s">
        <v>844</v>
      </c>
      <c r="B393" s="4" t="s">
        <v>845</v>
      </c>
      <c r="C393" s="4" t="s">
        <v>534</v>
      </c>
      <c r="D393" s="4" t="s">
        <v>514</v>
      </c>
      <c r="E393" s="4" t="s">
        <v>515</v>
      </c>
      <c r="F393" s="4" t="s">
        <v>190</v>
      </c>
      <c r="G393" s="4" t="s">
        <v>408</v>
      </c>
      <c r="H393" s="5">
        <f>ROUND(1563,0)</f>
        <v>1563</v>
      </c>
      <c r="I393" s="6">
        <f>ROUND(294.42,2)</f>
        <v>294.42</v>
      </c>
      <c r="J393" s="6">
        <f>ROUND(6.86237833,2)</f>
        <v>6.86</v>
      </c>
      <c r="K393" s="5">
        <f>ROUND(3157918.69,0)</f>
        <v>3157919</v>
      </c>
      <c r="L393" s="7">
        <f>ROUND(0.00109751150904981,4)</f>
        <v>1.1000000000000001E-3</v>
      </c>
    </row>
    <row r="394" spans="1:12">
      <c r="A394" s="3" t="s">
        <v>846</v>
      </c>
      <c r="B394" s="4" t="s">
        <v>847</v>
      </c>
      <c r="C394" s="4" t="s">
        <v>422</v>
      </c>
      <c r="D394" s="4" t="s">
        <v>520</v>
      </c>
      <c r="E394" s="4" t="s">
        <v>521</v>
      </c>
      <c r="F394" s="4" t="s">
        <v>18</v>
      </c>
      <c r="G394" s="4" t="s">
        <v>408</v>
      </c>
      <c r="H394" s="5">
        <f>ROUND(3931,0)</f>
        <v>3931</v>
      </c>
      <c r="I394" s="6">
        <f>ROUND(80.82,2)</f>
        <v>80.819999999999993</v>
      </c>
      <c r="J394" s="6">
        <f>ROUND(9.9055,2)</f>
        <v>9.91</v>
      </c>
      <c r="K394" s="5">
        <f>ROUND(3147011.23,0)</f>
        <v>3147011</v>
      </c>
      <c r="L394" s="7">
        <f>ROUND(0.00109372070122363,4)</f>
        <v>1.1000000000000001E-3</v>
      </c>
    </row>
    <row r="395" spans="1:12">
      <c r="A395" s="3" t="s">
        <v>848</v>
      </c>
      <c r="B395" s="4" t="s">
        <v>849</v>
      </c>
      <c r="C395" s="4" t="s">
        <v>400</v>
      </c>
      <c r="D395" s="4" t="s">
        <v>520</v>
      </c>
      <c r="E395" s="4" t="s">
        <v>521</v>
      </c>
      <c r="F395" s="4" t="s">
        <v>18</v>
      </c>
      <c r="G395" s="4" t="s">
        <v>408</v>
      </c>
      <c r="H395" s="5">
        <f>ROUND(13506,0)</f>
        <v>13506</v>
      </c>
      <c r="I395" s="6">
        <f>ROUND(23.43,2)</f>
        <v>23.43</v>
      </c>
      <c r="J395" s="6">
        <f>ROUND(9.9055,2)</f>
        <v>9.91</v>
      </c>
      <c r="K395" s="5">
        <f>ROUND(3134551.69,0)</f>
        <v>3134552</v>
      </c>
      <c r="L395" s="7">
        <f>ROUND(0.00108939047936238,4)</f>
        <v>1.1000000000000001E-3</v>
      </c>
    </row>
    <row r="396" spans="1:12">
      <c r="A396" s="3" t="s">
        <v>850</v>
      </c>
      <c r="B396" s="4" t="s">
        <v>851</v>
      </c>
      <c r="C396" s="4" t="s">
        <v>430</v>
      </c>
      <c r="D396" s="4" t="s">
        <v>390</v>
      </c>
      <c r="E396" s="4" t="s">
        <v>391</v>
      </c>
      <c r="F396" s="4" t="s">
        <v>72</v>
      </c>
      <c r="G396" s="4" t="s">
        <v>408</v>
      </c>
      <c r="H396" s="5">
        <f>ROUND(15771,0)</f>
        <v>15771</v>
      </c>
      <c r="I396" s="6">
        <f>ROUND(32.38,2)</f>
        <v>32.380000000000003</v>
      </c>
      <c r="J396" s="6">
        <f>ROUND(6.12812423,2)</f>
        <v>6.13</v>
      </c>
      <c r="K396" s="5">
        <f>ROUND(3129418.44,0)</f>
        <v>3129418</v>
      </c>
      <c r="L396" s="7">
        <f>ROUND(0.00108760645592578,4)</f>
        <v>1.1000000000000001E-3</v>
      </c>
    </row>
    <row r="397" spans="1:12">
      <c r="A397" s="3" t="s">
        <v>852</v>
      </c>
      <c r="B397" s="4" t="s">
        <v>853</v>
      </c>
      <c r="C397" s="4" t="s">
        <v>534</v>
      </c>
      <c r="D397" s="4" t="s">
        <v>423</v>
      </c>
      <c r="E397" s="4" t="s">
        <v>25</v>
      </c>
      <c r="F397" s="4" t="s">
        <v>16</v>
      </c>
      <c r="G397" s="4" t="s">
        <v>408</v>
      </c>
      <c r="H397" s="5">
        <f>ROUND(17385,0)</f>
        <v>17385</v>
      </c>
      <c r="I397" s="6">
        <f>ROUND(19.61,2)</f>
        <v>19.61</v>
      </c>
      <c r="J397" s="6">
        <f>ROUND(9.11185723,2)</f>
        <v>9.11</v>
      </c>
      <c r="K397" s="5">
        <f>ROUND(3106413,0)</f>
        <v>3106413</v>
      </c>
      <c r="L397" s="7">
        <f>ROUND(0.00107961108376794,4)</f>
        <v>1.1000000000000001E-3</v>
      </c>
    </row>
    <row r="398" spans="1:12">
      <c r="A398" s="3" t="s">
        <v>854</v>
      </c>
      <c r="B398" s="4" t="s">
        <v>855</v>
      </c>
      <c r="C398" s="4" t="s">
        <v>534</v>
      </c>
      <c r="D398" s="4" t="s">
        <v>496</v>
      </c>
      <c r="E398" s="4" t="s">
        <v>497</v>
      </c>
      <c r="F398" s="4" t="s">
        <v>21</v>
      </c>
      <c r="G398" s="4" t="s">
        <v>408</v>
      </c>
      <c r="H398" s="5">
        <f>ROUND(4106,0)</f>
        <v>4106</v>
      </c>
      <c r="I398" s="6">
        <f>ROUND(83.15,2)</f>
        <v>83.15</v>
      </c>
      <c r="J398" s="6">
        <f>ROUND(9.08595,2)</f>
        <v>9.09</v>
      </c>
      <c r="K398" s="5">
        <f>ROUND(3102069.62,0)</f>
        <v>3102070</v>
      </c>
      <c r="L398" s="7">
        <f>ROUND(0.00107810157386407,4)</f>
        <v>1.1000000000000001E-3</v>
      </c>
    </row>
    <row r="399" spans="1:12">
      <c r="A399" s="3" t="s">
        <v>856</v>
      </c>
      <c r="B399" s="4" t="s">
        <v>857</v>
      </c>
      <c r="C399" s="4" t="s">
        <v>400</v>
      </c>
      <c r="D399" s="4" t="s">
        <v>541</v>
      </c>
      <c r="E399" s="4" t="s">
        <v>542</v>
      </c>
      <c r="F399" s="4" t="s">
        <v>18</v>
      </c>
      <c r="G399" s="4" t="s">
        <v>408</v>
      </c>
      <c r="H399" s="5">
        <f>ROUND(1319,0)</f>
        <v>1319</v>
      </c>
      <c r="I399" s="6">
        <f>ROUND(237.4,2)</f>
        <v>237.4</v>
      </c>
      <c r="J399" s="6">
        <f>ROUND(9.9055,2)</f>
        <v>9.91</v>
      </c>
      <c r="K399" s="5">
        <f>ROUND(3101715.16,0)</f>
        <v>3101715</v>
      </c>
      <c r="L399" s="7">
        <f>ROUND(0.00107797838388748,4)</f>
        <v>1.1000000000000001E-3</v>
      </c>
    </row>
    <row r="400" spans="1:12">
      <c r="A400" s="3" t="s">
        <v>858</v>
      </c>
      <c r="B400" s="4" t="s">
        <v>859</v>
      </c>
      <c r="C400" s="4" t="s">
        <v>445</v>
      </c>
      <c r="D400" s="4" t="s">
        <v>407</v>
      </c>
      <c r="E400" s="4" t="s">
        <v>35</v>
      </c>
      <c r="F400" s="4" t="s">
        <v>21</v>
      </c>
      <c r="G400" s="4" t="s">
        <v>408</v>
      </c>
      <c r="H400" s="5">
        <f>ROUND(1994,0)</f>
        <v>1994</v>
      </c>
      <c r="I400" s="6">
        <f>ROUND(169.42,2)</f>
        <v>169.42</v>
      </c>
      <c r="J400" s="6">
        <f>ROUND(9.08595,2)</f>
        <v>9.09</v>
      </c>
      <c r="K400" s="5">
        <f>ROUND(3069447.25,0)</f>
        <v>3069447</v>
      </c>
      <c r="L400" s="7">
        <f>ROUND(0.00106676390812845,4)</f>
        <v>1.1000000000000001E-3</v>
      </c>
    </row>
    <row r="401" spans="1:12">
      <c r="A401" s="3" t="s">
        <v>860</v>
      </c>
      <c r="B401" s="4" t="s">
        <v>861</v>
      </c>
      <c r="C401" s="4" t="s">
        <v>534</v>
      </c>
      <c r="D401" s="4" t="s">
        <v>407</v>
      </c>
      <c r="E401" s="4" t="s">
        <v>35</v>
      </c>
      <c r="F401" s="4" t="s">
        <v>21</v>
      </c>
      <c r="G401" s="4" t="s">
        <v>408</v>
      </c>
      <c r="H401" s="5">
        <f>ROUND(1878,0)</f>
        <v>1878</v>
      </c>
      <c r="I401" s="6">
        <f>ROUND(179.66,2)</f>
        <v>179.66</v>
      </c>
      <c r="J401" s="6">
        <f>ROUND(9.08595,2)</f>
        <v>9.09</v>
      </c>
      <c r="K401" s="5">
        <f>ROUND(3065612.98,0)</f>
        <v>3065613</v>
      </c>
      <c r="L401" s="7">
        <f>ROUND(0.00106543133567587,4)</f>
        <v>1.1000000000000001E-3</v>
      </c>
    </row>
    <row r="402" spans="1:12">
      <c r="A402" s="3" t="s">
        <v>862</v>
      </c>
      <c r="B402" s="4" t="s">
        <v>863</v>
      </c>
      <c r="C402" s="4" t="s">
        <v>389</v>
      </c>
      <c r="D402" s="4" t="s">
        <v>486</v>
      </c>
      <c r="E402" s="4" t="s">
        <v>30</v>
      </c>
      <c r="F402" s="4" t="s">
        <v>20</v>
      </c>
      <c r="G402" s="4" t="s">
        <v>408</v>
      </c>
      <c r="H402" s="5">
        <f>ROUND(13055,0)</f>
        <v>13055</v>
      </c>
      <c r="I402" s="6">
        <f>ROUND(2093,2)</f>
        <v>2093</v>
      </c>
      <c r="J402" s="6">
        <f>ROUND(11.19645077,2)</f>
        <v>11.2</v>
      </c>
      <c r="K402" s="5">
        <f>ROUND(3059331.08,0)</f>
        <v>3059331</v>
      </c>
      <c r="L402" s="7">
        <f>ROUND(0.00106324810734559,4)</f>
        <v>1.1000000000000001E-3</v>
      </c>
    </row>
    <row r="403" spans="1:12">
      <c r="A403" s="3" t="s">
        <v>864</v>
      </c>
      <c r="B403" s="4" t="s">
        <v>865</v>
      </c>
      <c r="C403" s="4" t="s">
        <v>400</v>
      </c>
      <c r="D403" s="4" t="s">
        <v>486</v>
      </c>
      <c r="E403" s="4" t="s">
        <v>30</v>
      </c>
      <c r="F403" s="4" t="s">
        <v>20</v>
      </c>
      <c r="G403" s="4" t="s">
        <v>408</v>
      </c>
      <c r="H403" s="5">
        <f>ROUND(499914,0)</f>
        <v>499914</v>
      </c>
      <c r="I403" s="6">
        <f>ROUND(54.12,2)</f>
        <v>54.12</v>
      </c>
      <c r="J403" s="6">
        <f>ROUND(11.19645077,2)</f>
        <v>11.2</v>
      </c>
      <c r="K403" s="5">
        <f>ROUND(3029238.5,0)</f>
        <v>3029239</v>
      </c>
      <c r="L403" s="7">
        <f>ROUND(0.00105278965159384,4)</f>
        <v>1.1000000000000001E-3</v>
      </c>
    </row>
    <row r="404" spans="1:12">
      <c r="A404" s="3" t="s">
        <v>866</v>
      </c>
      <c r="B404" s="4" t="s">
        <v>867</v>
      </c>
      <c r="C404" s="4" t="s">
        <v>400</v>
      </c>
      <c r="D404" s="4" t="s">
        <v>407</v>
      </c>
      <c r="E404" s="4" t="s">
        <v>35</v>
      </c>
      <c r="F404" s="4" t="s">
        <v>21</v>
      </c>
      <c r="G404" s="4" t="s">
        <v>408</v>
      </c>
      <c r="H404" s="5">
        <f>ROUND(7033,0)</f>
        <v>7033</v>
      </c>
      <c r="I404" s="6">
        <f>ROUND(47.16,2)</f>
        <v>47.16</v>
      </c>
      <c r="J404" s="6">
        <f t="shared" ref="J404:J409" si="30">ROUND(9.08595,2)</f>
        <v>9.09</v>
      </c>
      <c r="K404" s="5">
        <f>ROUND(3013594.1,0)</f>
        <v>3013594</v>
      </c>
      <c r="L404" s="7">
        <f>ROUND(0.0010473525549686,4)</f>
        <v>1E-3</v>
      </c>
    </row>
    <row r="405" spans="1:12">
      <c r="A405" s="3" t="s">
        <v>868</v>
      </c>
      <c r="B405" s="4" t="s">
        <v>869</v>
      </c>
      <c r="C405" s="4" t="s">
        <v>534</v>
      </c>
      <c r="D405" s="4" t="s">
        <v>407</v>
      </c>
      <c r="E405" s="4" t="s">
        <v>35</v>
      </c>
      <c r="F405" s="4" t="s">
        <v>21</v>
      </c>
      <c r="G405" s="4" t="s">
        <v>408</v>
      </c>
      <c r="H405" s="5">
        <f>ROUND(4935,0)</f>
        <v>4935</v>
      </c>
      <c r="I405" s="6">
        <f>ROUND(66.86,2)</f>
        <v>66.86</v>
      </c>
      <c r="J405" s="6">
        <f t="shared" si="30"/>
        <v>9.09</v>
      </c>
      <c r="K405" s="5">
        <f>ROUND(2997946.45,0)</f>
        <v>2997946</v>
      </c>
      <c r="L405" s="7">
        <f>ROUND(0.00104191432882967,4)</f>
        <v>1E-3</v>
      </c>
    </row>
    <row r="406" spans="1:12">
      <c r="A406" s="3" t="s">
        <v>870</v>
      </c>
      <c r="B406" s="4" t="s">
        <v>871</v>
      </c>
      <c r="C406" s="4" t="s">
        <v>545</v>
      </c>
      <c r="D406" s="4" t="s">
        <v>407</v>
      </c>
      <c r="E406" s="4" t="s">
        <v>35</v>
      </c>
      <c r="F406" s="4" t="s">
        <v>21</v>
      </c>
      <c r="G406" s="4" t="s">
        <v>408</v>
      </c>
      <c r="H406" s="5">
        <f>ROUND(600,0)</f>
        <v>600</v>
      </c>
      <c r="I406" s="6">
        <f>ROUND(549.87,2)</f>
        <v>549.87</v>
      </c>
      <c r="J406" s="6">
        <f t="shared" si="30"/>
        <v>9.09</v>
      </c>
      <c r="K406" s="5">
        <f>ROUND(2997654.8,0)</f>
        <v>2997655</v>
      </c>
      <c r="L406" s="7">
        <f>ROUND(0.0010418129680085,4)</f>
        <v>1E-3</v>
      </c>
    </row>
    <row r="407" spans="1:12">
      <c r="A407" s="3" t="s">
        <v>872</v>
      </c>
      <c r="B407" s="4" t="s">
        <v>873</v>
      </c>
      <c r="C407" s="4" t="s">
        <v>406</v>
      </c>
      <c r="D407" s="4" t="s">
        <v>407</v>
      </c>
      <c r="E407" s="4" t="s">
        <v>35</v>
      </c>
      <c r="F407" s="4" t="s">
        <v>21</v>
      </c>
      <c r="G407" s="4" t="s">
        <v>408</v>
      </c>
      <c r="H407" s="5">
        <f>ROUND(6595,0)</f>
        <v>6595</v>
      </c>
      <c r="I407" s="6">
        <f>ROUND(49.9,2)</f>
        <v>49.9</v>
      </c>
      <c r="J407" s="6">
        <f t="shared" si="30"/>
        <v>9.09</v>
      </c>
      <c r="K407" s="5">
        <f>ROUND(2990099.83,0)</f>
        <v>2990100</v>
      </c>
      <c r="L407" s="7">
        <f>ROUND(0.00103918729352492,4)</f>
        <v>1E-3</v>
      </c>
    </row>
    <row r="408" spans="1:12">
      <c r="A408" s="3" t="s">
        <v>874</v>
      </c>
      <c r="B408" s="4" t="s">
        <v>875</v>
      </c>
      <c r="C408" s="4" t="s">
        <v>400</v>
      </c>
      <c r="D408" s="4" t="s">
        <v>486</v>
      </c>
      <c r="E408" s="4" t="s">
        <v>30</v>
      </c>
      <c r="F408" s="4" t="s">
        <v>21</v>
      </c>
      <c r="G408" s="4" t="s">
        <v>408</v>
      </c>
      <c r="H408" s="5">
        <f>ROUND(1698,0)</f>
        <v>1698</v>
      </c>
      <c r="I408" s="6">
        <f>ROUND(193.57,2)</f>
        <v>193.57</v>
      </c>
      <c r="J408" s="6">
        <f t="shared" si="30"/>
        <v>9.09</v>
      </c>
      <c r="K408" s="5">
        <f>ROUND(2986386.95,0)</f>
        <v>2986387</v>
      </c>
      <c r="L408" s="7">
        <f>ROUND(0.00103789690927766,4)</f>
        <v>1E-3</v>
      </c>
    </row>
    <row r="409" spans="1:12">
      <c r="A409" s="3" t="s">
        <v>876</v>
      </c>
      <c r="B409" s="4" t="s">
        <v>877</v>
      </c>
      <c r="C409" s="4" t="s">
        <v>534</v>
      </c>
      <c r="D409" s="4" t="s">
        <v>407</v>
      </c>
      <c r="E409" s="4" t="s">
        <v>35</v>
      </c>
      <c r="F409" s="4" t="s">
        <v>21</v>
      </c>
      <c r="G409" s="4" t="s">
        <v>408</v>
      </c>
      <c r="H409" s="5">
        <f>ROUND(3356,0)</f>
        <v>3356</v>
      </c>
      <c r="I409" s="6">
        <f>ROUND(97.31,2)</f>
        <v>97.31</v>
      </c>
      <c r="J409" s="6">
        <f t="shared" si="30"/>
        <v>9.09</v>
      </c>
      <c r="K409" s="5">
        <f>ROUND(2967220.13,0)</f>
        <v>2967220</v>
      </c>
      <c r="L409" s="7">
        <f>ROUND(0.00103123562138304,4)</f>
        <v>1E-3</v>
      </c>
    </row>
    <row r="410" spans="1:12">
      <c r="A410" s="3" t="s">
        <v>878</v>
      </c>
      <c r="B410" s="4" t="s">
        <v>879</v>
      </c>
      <c r="C410" s="4" t="s">
        <v>400</v>
      </c>
      <c r="D410" s="4" t="s">
        <v>423</v>
      </c>
      <c r="E410" s="4" t="s">
        <v>25</v>
      </c>
      <c r="F410" s="4" t="s">
        <v>16</v>
      </c>
      <c r="G410" s="4" t="s">
        <v>408</v>
      </c>
      <c r="H410" s="5">
        <f>ROUND(28652,0)</f>
        <v>28652</v>
      </c>
      <c r="I410" s="6">
        <f>ROUND(11.33,2)</f>
        <v>11.33</v>
      </c>
      <c r="J410" s="6">
        <f>ROUND(9.11185723,2)</f>
        <v>9.11</v>
      </c>
      <c r="K410" s="5">
        <f>ROUND(2957956.33,0)</f>
        <v>2957956</v>
      </c>
      <c r="L410" s="7">
        <f>ROUND(0.0010280160555501,4)</f>
        <v>1E-3</v>
      </c>
    </row>
    <row r="411" spans="1:12">
      <c r="A411" s="3" t="s">
        <v>880</v>
      </c>
      <c r="B411" s="4" t="s">
        <v>881</v>
      </c>
      <c r="C411" s="4" t="s">
        <v>445</v>
      </c>
      <c r="D411" s="4" t="s">
        <v>407</v>
      </c>
      <c r="E411" s="4" t="s">
        <v>35</v>
      </c>
      <c r="F411" s="4" t="s">
        <v>21</v>
      </c>
      <c r="G411" s="4" t="s">
        <v>408</v>
      </c>
      <c r="H411" s="5">
        <f>ROUND(3700,0)</f>
        <v>3700</v>
      </c>
      <c r="I411" s="6">
        <f>ROUND(87.47,2)</f>
        <v>87.47</v>
      </c>
      <c r="J411" s="6">
        <f>ROUND(9.08595,2)</f>
        <v>9.09</v>
      </c>
      <c r="K411" s="5">
        <f>ROUND(2940567.77,0)</f>
        <v>2940568</v>
      </c>
      <c r="L411" s="7">
        <f>ROUND(0.00102197278889278,4)</f>
        <v>1E-3</v>
      </c>
    </row>
    <row r="412" spans="1:12">
      <c r="A412" s="3" t="s">
        <v>882</v>
      </c>
      <c r="B412" s="4" t="s">
        <v>883</v>
      </c>
      <c r="C412" s="4" t="s">
        <v>445</v>
      </c>
      <c r="D412" s="4" t="s">
        <v>407</v>
      </c>
      <c r="E412" s="4" t="s">
        <v>35</v>
      </c>
      <c r="F412" s="4" t="s">
        <v>21</v>
      </c>
      <c r="G412" s="4" t="s">
        <v>408</v>
      </c>
      <c r="H412" s="5">
        <f>ROUND(1389,0)</f>
        <v>1389</v>
      </c>
      <c r="I412" s="6">
        <f>ROUND(232.82,2)</f>
        <v>232.82</v>
      </c>
      <c r="J412" s="6">
        <f>ROUND(9.08595,2)</f>
        <v>9.09</v>
      </c>
      <c r="K412" s="5">
        <f>ROUND(2938277.93,0)</f>
        <v>2938278</v>
      </c>
      <c r="L412" s="7">
        <f>ROUND(0.00102117697177379,4)</f>
        <v>1E-3</v>
      </c>
    </row>
    <row r="413" spans="1:12">
      <c r="A413" s="3" t="s">
        <v>884</v>
      </c>
      <c r="B413" s="4" t="s">
        <v>885</v>
      </c>
      <c r="C413" s="4" t="s">
        <v>400</v>
      </c>
      <c r="D413" s="4" t="s">
        <v>395</v>
      </c>
      <c r="E413" s="4" t="s">
        <v>396</v>
      </c>
      <c r="F413" s="4" t="s">
        <v>397</v>
      </c>
      <c r="G413" s="4" t="s">
        <v>408</v>
      </c>
      <c r="H413" s="5">
        <f>ROUND(38421,0)</f>
        <v>38421</v>
      </c>
      <c r="I413" s="6">
        <f>ROUND(35.03,2)</f>
        <v>35.03</v>
      </c>
      <c r="J413" s="6">
        <f>ROUND(2.18129969,2)</f>
        <v>2.1800000000000002</v>
      </c>
      <c r="K413" s="5">
        <f>ROUND(2935784.27,0)</f>
        <v>2935784</v>
      </c>
      <c r="L413" s="7">
        <f>ROUND(0.00102031031850677,4)</f>
        <v>1E-3</v>
      </c>
    </row>
    <row r="414" spans="1:12">
      <c r="A414" s="3" t="s">
        <v>886</v>
      </c>
      <c r="B414" s="4" t="s">
        <v>887</v>
      </c>
      <c r="C414" s="4" t="s">
        <v>400</v>
      </c>
      <c r="D414" s="4" t="s">
        <v>407</v>
      </c>
      <c r="E414" s="4" t="s">
        <v>35</v>
      </c>
      <c r="F414" s="4" t="s">
        <v>21</v>
      </c>
      <c r="G414" s="4" t="s">
        <v>408</v>
      </c>
      <c r="H414" s="5">
        <f>ROUND(7660,0)</f>
        <v>7660</v>
      </c>
      <c r="I414" s="6">
        <f>ROUND(41.83,2)</f>
        <v>41.83</v>
      </c>
      <c r="J414" s="6">
        <f>ROUND(9.08595,2)</f>
        <v>9.09</v>
      </c>
      <c r="K414" s="5">
        <f>ROUND(2911300.11,0)</f>
        <v>2911300</v>
      </c>
      <c r="L414" s="7">
        <f>ROUND(0.00101180102804451,4)</f>
        <v>1E-3</v>
      </c>
    </row>
    <row r="415" spans="1:12">
      <c r="A415" s="3" t="s">
        <v>888</v>
      </c>
      <c r="B415" s="4" t="s">
        <v>889</v>
      </c>
      <c r="C415" s="4" t="s">
        <v>534</v>
      </c>
      <c r="D415" s="4" t="s">
        <v>489</v>
      </c>
      <c r="E415" s="4" t="s">
        <v>490</v>
      </c>
      <c r="F415" s="4" t="s">
        <v>45</v>
      </c>
      <c r="G415" s="4" t="s">
        <v>408</v>
      </c>
      <c r="H415" s="5">
        <f>ROUND(1700,0)</f>
        <v>1700</v>
      </c>
      <c r="I415" s="6">
        <f>ROUND(20340,2)</f>
        <v>20340</v>
      </c>
      <c r="J415" s="6">
        <f>ROUND(8.407077,2)</f>
        <v>8.41</v>
      </c>
      <c r="K415" s="5">
        <f>ROUND(2906999.09,0)</f>
        <v>2906999</v>
      </c>
      <c r="L415" s="7">
        <f>ROUND(0.00101030624004835,4)</f>
        <v>1E-3</v>
      </c>
    </row>
    <row r="416" spans="1:12">
      <c r="A416" s="3" t="s">
        <v>890</v>
      </c>
      <c r="B416" s="4" t="s">
        <v>891</v>
      </c>
      <c r="C416" s="4" t="s">
        <v>534</v>
      </c>
      <c r="D416" s="4" t="s">
        <v>496</v>
      </c>
      <c r="E416" s="4" t="s">
        <v>497</v>
      </c>
      <c r="F416" s="4" t="s">
        <v>21</v>
      </c>
      <c r="G416" s="4" t="s">
        <v>408</v>
      </c>
      <c r="H416" s="5">
        <f>ROUND(7286,0)</f>
        <v>7286</v>
      </c>
      <c r="I416" s="6">
        <f>ROUND(43.89,2)</f>
        <v>43.89</v>
      </c>
      <c r="J416" s="6">
        <f>ROUND(9.08595,2)</f>
        <v>9.09</v>
      </c>
      <c r="K416" s="5">
        <f>ROUND(2905528.17,0)</f>
        <v>2905528</v>
      </c>
      <c r="L416" s="7">
        <f>ROUND(0.0010097950325768,4)</f>
        <v>1E-3</v>
      </c>
    </row>
    <row r="417" spans="1:12">
      <c r="A417" s="3" t="s">
        <v>892</v>
      </c>
      <c r="B417" s="4" t="s">
        <v>893</v>
      </c>
      <c r="C417" s="4" t="s">
        <v>445</v>
      </c>
      <c r="D417" s="4" t="s">
        <v>407</v>
      </c>
      <c r="E417" s="4" t="s">
        <v>35</v>
      </c>
      <c r="F417" s="4" t="s">
        <v>21</v>
      </c>
      <c r="G417" s="4" t="s">
        <v>408</v>
      </c>
      <c r="H417" s="5">
        <f>ROUND(1452,0)</f>
        <v>1452</v>
      </c>
      <c r="I417" s="6">
        <f>ROUND(219.91,2)</f>
        <v>219.91</v>
      </c>
      <c r="J417" s="6">
        <f>ROUND(9.08595,2)</f>
        <v>9.09</v>
      </c>
      <c r="K417" s="5">
        <f>ROUND(2901228.52,0)</f>
        <v>2901229</v>
      </c>
      <c r="L417" s="7">
        <f>ROUND(0.0010083007207141,4)</f>
        <v>1E-3</v>
      </c>
    </row>
    <row r="418" spans="1:12">
      <c r="A418" s="3" t="s">
        <v>894</v>
      </c>
      <c r="B418" s="4" t="s">
        <v>895</v>
      </c>
      <c r="C418" s="4" t="s">
        <v>534</v>
      </c>
      <c r="D418" s="4" t="s">
        <v>489</v>
      </c>
      <c r="E418" s="4" t="s">
        <v>490</v>
      </c>
      <c r="F418" s="4" t="s">
        <v>45</v>
      </c>
      <c r="G418" s="4" t="s">
        <v>408</v>
      </c>
      <c r="H418" s="5">
        <f>ROUND(10500,0)</f>
        <v>10500</v>
      </c>
      <c r="I418" s="6">
        <f>ROUND(3286,2)</f>
        <v>3286</v>
      </c>
      <c r="J418" s="6">
        <f>ROUND(8.407077,2)</f>
        <v>8.41</v>
      </c>
      <c r="K418" s="5">
        <f>ROUND(2900693.78,0)</f>
        <v>2900694</v>
      </c>
      <c r="L418" s="7">
        <f>ROUND(0.00100811487574406,4)</f>
        <v>1E-3</v>
      </c>
    </row>
    <row r="419" spans="1:12">
      <c r="A419" s="3" t="s">
        <v>896</v>
      </c>
      <c r="B419" s="4" t="s">
        <v>897</v>
      </c>
      <c r="C419" s="4" t="s">
        <v>534</v>
      </c>
      <c r="D419" s="4" t="s">
        <v>496</v>
      </c>
      <c r="E419" s="4" t="s">
        <v>497</v>
      </c>
      <c r="F419" s="4" t="s">
        <v>21</v>
      </c>
      <c r="G419" s="4" t="s">
        <v>408</v>
      </c>
      <c r="H419" s="5">
        <f>ROUND(2583,0)</f>
        <v>2583</v>
      </c>
      <c r="I419" s="6">
        <f>ROUND(123.21,2)</f>
        <v>123.21</v>
      </c>
      <c r="J419" s="6">
        <f>ROUND(9.08595,2)</f>
        <v>9.09</v>
      </c>
      <c r="K419" s="5">
        <f>ROUND(2891616.58,0)</f>
        <v>2891617</v>
      </c>
      <c r="L419" s="7">
        <f>ROUND(0.00100496016137428,4)</f>
        <v>1E-3</v>
      </c>
    </row>
    <row r="420" spans="1:12">
      <c r="A420" s="3" t="s">
        <v>898</v>
      </c>
      <c r="B420" s="4" t="s">
        <v>899</v>
      </c>
      <c r="C420" s="4" t="s">
        <v>400</v>
      </c>
      <c r="D420" s="4" t="s">
        <v>407</v>
      </c>
      <c r="E420" s="4" t="s">
        <v>35</v>
      </c>
      <c r="F420" s="4" t="s">
        <v>21</v>
      </c>
      <c r="G420" s="4" t="s">
        <v>408</v>
      </c>
      <c r="H420" s="5">
        <f>ROUND(3498,0)</f>
        <v>3498</v>
      </c>
      <c r="I420" s="6">
        <f>ROUND(90.98,2)</f>
        <v>90.98</v>
      </c>
      <c r="J420" s="6">
        <f>ROUND(9.08595,2)</f>
        <v>9.09</v>
      </c>
      <c r="K420" s="5">
        <f>ROUND(2891585.78,0)</f>
        <v>2891586</v>
      </c>
      <c r="L420" s="7">
        <f>ROUND(0.00100494945705989,4)</f>
        <v>1E-3</v>
      </c>
    </row>
    <row r="421" spans="1:12">
      <c r="A421" s="3" t="s">
        <v>900</v>
      </c>
      <c r="B421" s="4" t="s">
        <v>901</v>
      </c>
      <c r="C421" s="4" t="s">
        <v>400</v>
      </c>
      <c r="D421" s="4" t="s">
        <v>486</v>
      </c>
      <c r="E421" s="4" t="s">
        <v>30</v>
      </c>
      <c r="F421" s="4" t="s">
        <v>20</v>
      </c>
      <c r="G421" s="4" t="s">
        <v>408</v>
      </c>
      <c r="H421" s="5">
        <f>ROUND(17479,0)</f>
        <v>17479</v>
      </c>
      <c r="I421" s="6">
        <f>ROUND(1475,2)</f>
        <v>1475</v>
      </c>
      <c r="J421" s="6">
        <f>ROUND(11.19645077,2)</f>
        <v>11.2</v>
      </c>
      <c r="K421" s="5">
        <f>ROUND(2886615.75,0)</f>
        <v>2886616</v>
      </c>
      <c r="L421" s="7">
        <f>ROUND(0.00100322215953871,4)</f>
        <v>1E-3</v>
      </c>
    </row>
    <row r="422" spans="1:12">
      <c r="A422" s="3" t="s">
        <v>902</v>
      </c>
      <c r="B422" s="4" t="s">
        <v>903</v>
      </c>
      <c r="C422" s="4" t="s">
        <v>534</v>
      </c>
      <c r="D422" s="4" t="s">
        <v>407</v>
      </c>
      <c r="E422" s="4" t="s">
        <v>35</v>
      </c>
      <c r="F422" s="4" t="s">
        <v>21</v>
      </c>
      <c r="G422" s="4" t="s">
        <v>408</v>
      </c>
      <c r="H422" s="5">
        <f>ROUND(12211,0)</f>
        <v>12211</v>
      </c>
      <c r="I422" s="6">
        <f>ROUND(26,2)</f>
        <v>26</v>
      </c>
      <c r="J422" s="6">
        <f>ROUND(9.08595,2)</f>
        <v>9.09</v>
      </c>
      <c r="K422" s="5">
        <f>ROUND(2884661.92,0)</f>
        <v>2884662</v>
      </c>
      <c r="L422" s="7">
        <f>ROUND(0.00100254312023395,4)</f>
        <v>1E-3</v>
      </c>
    </row>
    <row r="423" spans="1:12">
      <c r="A423" s="3" t="s">
        <v>904</v>
      </c>
      <c r="B423" s="4" t="s">
        <v>905</v>
      </c>
      <c r="C423" s="4" t="s">
        <v>389</v>
      </c>
      <c r="D423" s="4" t="s">
        <v>423</v>
      </c>
      <c r="E423" s="4" t="s">
        <v>25</v>
      </c>
      <c r="F423" s="4" t="s">
        <v>16</v>
      </c>
      <c r="G423" s="4" t="s">
        <v>408</v>
      </c>
      <c r="H423" s="5">
        <f>ROUND(4286,0)</f>
        <v>4286</v>
      </c>
      <c r="I423" s="6">
        <f>ROUND(73.22,2)</f>
        <v>73.22</v>
      </c>
      <c r="J423" s="6">
        <f>ROUND(9.11185723,2)</f>
        <v>9.11</v>
      </c>
      <c r="K423" s="5">
        <f>ROUND(2859491.42,0)</f>
        <v>2859491</v>
      </c>
      <c r="L423" s="7">
        <f>ROUND(0.000993795297332115,4)</f>
        <v>1E-3</v>
      </c>
    </row>
    <row r="424" spans="1:12">
      <c r="A424" s="3" t="s">
        <v>906</v>
      </c>
      <c r="B424" s="4" t="s">
        <v>907</v>
      </c>
      <c r="C424" s="4" t="s">
        <v>400</v>
      </c>
      <c r="D424" s="4" t="s">
        <v>407</v>
      </c>
      <c r="E424" s="4" t="s">
        <v>35</v>
      </c>
      <c r="F424" s="4" t="s">
        <v>21</v>
      </c>
      <c r="G424" s="4" t="s">
        <v>408</v>
      </c>
      <c r="H424" s="5">
        <f>ROUND(2100,0)</f>
        <v>2100</v>
      </c>
      <c r="I424" s="6">
        <f>ROUND(148.69,2)</f>
        <v>148.69</v>
      </c>
      <c r="J424" s="6">
        <f>ROUND(9.08595,2)</f>
        <v>9.09</v>
      </c>
      <c r="K424" s="5">
        <f>ROUND(2837078.8,0)</f>
        <v>2837079</v>
      </c>
      <c r="L424" s="7">
        <f>ROUND(0.000986005955422884,4)</f>
        <v>1E-3</v>
      </c>
    </row>
    <row r="425" spans="1:12">
      <c r="A425" s="3" t="s">
        <v>908</v>
      </c>
      <c r="B425" s="4" t="s">
        <v>909</v>
      </c>
      <c r="C425" s="4" t="s">
        <v>493</v>
      </c>
      <c r="D425" s="4" t="s">
        <v>407</v>
      </c>
      <c r="E425" s="4" t="s">
        <v>35</v>
      </c>
      <c r="F425" s="4" t="s">
        <v>21</v>
      </c>
      <c r="G425" s="4" t="s">
        <v>408</v>
      </c>
      <c r="H425" s="5">
        <f>ROUND(4117,0)</f>
        <v>4117</v>
      </c>
      <c r="I425" s="6">
        <f>ROUND(75.42,2)</f>
        <v>75.42</v>
      </c>
      <c r="J425" s="6">
        <f>ROUND(9.08595,2)</f>
        <v>9.09</v>
      </c>
      <c r="K425" s="5">
        <f>ROUND(2821225.09,0)</f>
        <v>2821225</v>
      </c>
      <c r="L425" s="7">
        <f>ROUND(0.000980496114640334,4)</f>
        <v>1E-3</v>
      </c>
    </row>
    <row r="426" spans="1:12">
      <c r="A426" s="3" t="s">
        <v>910</v>
      </c>
      <c r="B426" s="4" t="s">
        <v>911</v>
      </c>
      <c r="C426" s="4" t="s">
        <v>400</v>
      </c>
      <c r="D426" s="4" t="s">
        <v>407</v>
      </c>
      <c r="E426" s="4" t="s">
        <v>35</v>
      </c>
      <c r="F426" s="4" t="s">
        <v>21</v>
      </c>
      <c r="G426" s="4" t="s">
        <v>408</v>
      </c>
      <c r="H426" s="5">
        <f>ROUND(5914,0)</f>
        <v>5914</v>
      </c>
      <c r="I426" s="6">
        <f>ROUND(52.32,2)</f>
        <v>52.32</v>
      </c>
      <c r="J426" s="6">
        <f>ROUND(9.08595,2)</f>
        <v>9.09</v>
      </c>
      <c r="K426" s="5">
        <f>ROUND(2811379.01,0)</f>
        <v>2811379</v>
      </c>
      <c r="L426" s="7">
        <f>ROUND(0.000977074181658575,4)</f>
        <v>1E-3</v>
      </c>
    </row>
    <row r="427" spans="1:12">
      <c r="A427" s="3" t="s">
        <v>912</v>
      </c>
      <c r="B427" s="4" t="s">
        <v>913</v>
      </c>
      <c r="C427" s="4" t="s">
        <v>389</v>
      </c>
      <c r="D427" s="4" t="s">
        <v>407</v>
      </c>
      <c r="E427" s="4" t="s">
        <v>35</v>
      </c>
      <c r="F427" s="4" t="s">
        <v>21</v>
      </c>
      <c r="G427" s="4" t="s">
        <v>408</v>
      </c>
      <c r="H427" s="5">
        <f>ROUND(2800,0)</f>
        <v>2800</v>
      </c>
      <c r="I427" s="6">
        <f>ROUND(109.85,2)</f>
        <v>109.85</v>
      </c>
      <c r="J427" s="6">
        <f>ROUND(9.08595,2)</f>
        <v>9.09</v>
      </c>
      <c r="K427" s="5">
        <f>ROUND(2794656.5,0)</f>
        <v>2794657</v>
      </c>
      <c r="L427" s="7">
        <f>ROUND(0.000971262395799959,4)</f>
        <v>1E-3</v>
      </c>
    </row>
    <row r="428" spans="1:12">
      <c r="A428" s="3" t="s">
        <v>914</v>
      </c>
      <c r="B428" s="4" t="s">
        <v>915</v>
      </c>
      <c r="C428" s="4" t="s">
        <v>389</v>
      </c>
      <c r="D428" s="4" t="s">
        <v>723</v>
      </c>
      <c r="E428" s="4" t="s">
        <v>724</v>
      </c>
      <c r="F428" s="4" t="s">
        <v>18</v>
      </c>
      <c r="G428" s="4" t="s">
        <v>408</v>
      </c>
      <c r="H428" s="5">
        <f>ROUND(9933,0)</f>
        <v>9933</v>
      </c>
      <c r="I428" s="6">
        <f>ROUND(28.4,2)</f>
        <v>28.4</v>
      </c>
      <c r="J428" s="6">
        <f>ROUND(9.9055,2)</f>
        <v>9.91</v>
      </c>
      <c r="K428" s="5">
        <f>ROUND(2794313.81,0)</f>
        <v>2794314</v>
      </c>
      <c r="L428" s="7">
        <f>ROUND(0.000971143296400653,4)</f>
        <v>1E-3</v>
      </c>
    </row>
    <row r="429" spans="1:12">
      <c r="A429" s="3" t="s">
        <v>916</v>
      </c>
      <c r="B429" s="4" t="s">
        <v>917</v>
      </c>
      <c r="C429" s="4" t="s">
        <v>445</v>
      </c>
      <c r="D429" s="4" t="s">
        <v>423</v>
      </c>
      <c r="E429" s="4" t="s">
        <v>25</v>
      </c>
      <c r="F429" s="4" t="s">
        <v>16</v>
      </c>
      <c r="G429" s="4" t="s">
        <v>408</v>
      </c>
      <c r="H429" s="5">
        <f>ROUND(908,0)</f>
        <v>908</v>
      </c>
      <c r="I429" s="6">
        <f>ROUND(337.4,2)</f>
        <v>337.4</v>
      </c>
      <c r="J429" s="6">
        <f>ROUND(9.11185723,2)</f>
        <v>9.11</v>
      </c>
      <c r="K429" s="5">
        <f>ROUND(2791501.29,0)</f>
        <v>2791501</v>
      </c>
      <c r="L429" s="7">
        <f>ROUND(0.000970165825676278,4)</f>
        <v>1E-3</v>
      </c>
    </row>
    <row r="430" spans="1:12">
      <c r="A430" s="3" t="s">
        <v>918</v>
      </c>
      <c r="B430" s="4" t="s">
        <v>919</v>
      </c>
      <c r="C430" s="4" t="s">
        <v>406</v>
      </c>
      <c r="D430" s="4" t="s">
        <v>407</v>
      </c>
      <c r="E430" s="4" t="s">
        <v>35</v>
      </c>
      <c r="F430" s="4" t="s">
        <v>21</v>
      </c>
      <c r="G430" s="4" t="s">
        <v>408</v>
      </c>
      <c r="H430" s="5">
        <f>ROUND(5043,0)</f>
        <v>5043</v>
      </c>
      <c r="I430" s="6">
        <f>ROUND(60.265,2)</f>
        <v>60.27</v>
      </c>
      <c r="J430" s="6">
        <f>ROUND(9.08595,2)</f>
        <v>9.09</v>
      </c>
      <c r="K430" s="5">
        <f>ROUND(2761369.21,0)</f>
        <v>2761369</v>
      </c>
      <c r="L430" s="7">
        <f>ROUND(0.00095969364198886,4)</f>
        <v>1E-3</v>
      </c>
    </row>
    <row r="431" spans="1:12">
      <c r="A431" s="3" t="s">
        <v>920</v>
      </c>
      <c r="B431" s="4" t="s">
        <v>921</v>
      </c>
      <c r="C431" s="4" t="s">
        <v>445</v>
      </c>
      <c r="D431" s="4" t="s">
        <v>489</v>
      </c>
      <c r="E431" s="4" t="s">
        <v>490</v>
      </c>
      <c r="F431" s="4" t="s">
        <v>45</v>
      </c>
      <c r="G431" s="4" t="s">
        <v>408</v>
      </c>
      <c r="H431" s="5">
        <f>ROUND(8900,0)</f>
        <v>8900</v>
      </c>
      <c r="I431" s="6">
        <f>ROUND(3690,2)</f>
        <v>3690</v>
      </c>
      <c r="J431" s="6">
        <f>ROUND(8.407077,2)</f>
        <v>8.41</v>
      </c>
      <c r="K431" s="5">
        <f>ROUND(2760968.16,0)</f>
        <v>2760968</v>
      </c>
      <c r="L431" s="7">
        <f>ROUND(0.000959554259999039,4)</f>
        <v>1E-3</v>
      </c>
    </row>
    <row r="432" spans="1:12">
      <c r="A432" s="3" t="s">
        <v>922</v>
      </c>
      <c r="B432" s="4" t="s">
        <v>923</v>
      </c>
      <c r="C432" s="4" t="s">
        <v>389</v>
      </c>
      <c r="D432" s="4" t="s">
        <v>407</v>
      </c>
      <c r="E432" s="4" t="s">
        <v>35</v>
      </c>
      <c r="F432" s="4" t="s">
        <v>21</v>
      </c>
      <c r="G432" s="4" t="s">
        <v>408</v>
      </c>
      <c r="H432" s="5">
        <f>ROUND(2434,0)</f>
        <v>2434</v>
      </c>
      <c r="I432" s="6">
        <f>ROUND(124.37,2)</f>
        <v>124.37</v>
      </c>
      <c r="J432" s="6">
        <f t="shared" ref="J432:J437" si="31">ROUND(9.08595,2)</f>
        <v>9.09</v>
      </c>
      <c r="K432" s="5">
        <f>ROUND(2750467.71,0)</f>
        <v>2750468</v>
      </c>
      <c r="L432" s="7">
        <f>ROUND(0.00095590490551702,4)</f>
        <v>1E-3</v>
      </c>
    </row>
    <row r="433" spans="1:12">
      <c r="A433" s="3" t="s">
        <v>924</v>
      </c>
      <c r="B433" s="4" t="s">
        <v>925</v>
      </c>
      <c r="C433" s="4" t="s">
        <v>445</v>
      </c>
      <c r="D433" s="4" t="s">
        <v>407</v>
      </c>
      <c r="E433" s="4" t="s">
        <v>35</v>
      </c>
      <c r="F433" s="4" t="s">
        <v>21</v>
      </c>
      <c r="G433" s="4" t="s">
        <v>408</v>
      </c>
      <c r="H433" s="5">
        <f>ROUND(991,0)</f>
        <v>991</v>
      </c>
      <c r="I433" s="6">
        <f>ROUND(304.22,2)</f>
        <v>304.22000000000003</v>
      </c>
      <c r="J433" s="6">
        <f t="shared" si="31"/>
        <v>9.09</v>
      </c>
      <c r="K433" s="5">
        <f>ROUND(2739250.56,0)</f>
        <v>2739251</v>
      </c>
      <c r="L433" s="7">
        <f>ROUND(0.000952006467199808,4)</f>
        <v>1E-3</v>
      </c>
    </row>
    <row r="434" spans="1:12">
      <c r="A434" s="3" t="s">
        <v>926</v>
      </c>
      <c r="B434" s="4" t="s">
        <v>927</v>
      </c>
      <c r="C434" s="4" t="s">
        <v>406</v>
      </c>
      <c r="D434" s="4" t="s">
        <v>407</v>
      </c>
      <c r="E434" s="4" t="s">
        <v>35</v>
      </c>
      <c r="F434" s="4" t="s">
        <v>21</v>
      </c>
      <c r="G434" s="4" t="s">
        <v>408</v>
      </c>
      <c r="H434" s="5">
        <f>ROUND(6986,0)</f>
        <v>6986</v>
      </c>
      <c r="I434" s="6">
        <f>ROUND(42.85,2)</f>
        <v>42.85</v>
      </c>
      <c r="J434" s="6">
        <f t="shared" si="31"/>
        <v>9.09</v>
      </c>
      <c r="K434" s="5">
        <f>ROUND(2719880.04,0)</f>
        <v>2719880</v>
      </c>
      <c r="L434" s="7">
        <f>ROUND(0.000945274384862286,4)</f>
        <v>8.9999999999999998E-4</v>
      </c>
    </row>
    <row r="435" spans="1:12">
      <c r="A435" s="3" t="s">
        <v>928</v>
      </c>
      <c r="B435" s="4" t="s">
        <v>929</v>
      </c>
      <c r="C435" s="4" t="s">
        <v>430</v>
      </c>
      <c r="D435" s="4" t="s">
        <v>836</v>
      </c>
      <c r="E435" s="4" t="s">
        <v>837</v>
      </c>
      <c r="F435" s="4" t="s">
        <v>21</v>
      </c>
      <c r="G435" s="4" t="s">
        <v>408</v>
      </c>
      <c r="H435" s="5">
        <f>ROUND(1474,0)</f>
        <v>1474</v>
      </c>
      <c r="I435" s="6">
        <f>ROUND(202.8,2)</f>
        <v>202.8</v>
      </c>
      <c r="J435" s="6">
        <f t="shared" si="31"/>
        <v>9.09</v>
      </c>
      <c r="K435" s="5">
        <f>ROUND(2716037.59,0)</f>
        <v>2716038</v>
      </c>
      <c r="L435" s="7">
        <f>ROUND(0.000943938969510617,4)</f>
        <v>8.9999999999999998E-4</v>
      </c>
    </row>
    <row r="436" spans="1:12">
      <c r="A436" s="3" t="s">
        <v>930</v>
      </c>
      <c r="B436" s="4" t="s">
        <v>931</v>
      </c>
      <c r="C436" s="4" t="s">
        <v>430</v>
      </c>
      <c r="D436" s="4" t="s">
        <v>407</v>
      </c>
      <c r="E436" s="4" t="s">
        <v>35</v>
      </c>
      <c r="F436" s="4" t="s">
        <v>21</v>
      </c>
      <c r="G436" s="4" t="s">
        <v>408</v>
      </c>
      <c r="H436" s="5">
        <f>ROUND(4053,0)</f>
        <v>4053</v>
      </c>
      <c r="I436" s="6">
        <f>ROUND(73.69,2)</f>
        <v>73.69</v>
      </c>
      <c r="J436" s="6">
        <f t="shared" si="31"/>
        <v>9.09</v>
      </c>
      <c r="K436" s="5">
        <f>ROUND(2713660.44,0)</f>
        <v>2713660</v>
      </c>
      <c r="L436" s="7">
        <f>ROUND(0.000943112808440669,4)</f>
        <v>8.9999999999999998E-4</v>
      </c>
    </row>
    <row r="437" spans="1:12">
      <c r="A437" s="3" t="s">
        <v>932</v>
      </c>
      <c r="B437" s="4" t="s">
        <v>933</v>
      </c>
      <c r="C437" s="4" t="s">
        <v>400</v>
      </c>
      <c r="D437" s="4" t="s">
        <v>407</v>
      </c>
      <c r="E437" s="4" t="s">
        <v>35</v>
      </c>
      <c r="F437" s="4" t="s">
        <v>21</v>
      </c>
      <c r="G437" s="4" t="s">
        <v>408</v>
      </c>
      <c r="H437" s="5">
        <f>ROUND(3316,0)</f>
        <v>3316</v>
      </c>
      <c r="I437" s="6">
        <f>ROUND(89.95,2)</f>
        <v>89.95</v>
      </c>
      <c r="J437" s="6">
        <f t="shared" si="31"/>
        <v>9.09</v>
      </c>
      <c r="K437" s="5">
        <f>ROUND(2710104.47,0)</f>
        <v>2710104</v>
      </c>
      <c r="L437" s="7">
        <f>ROUND(0.000941876957114543,4)</f>
        <v>8.9999999999999998E-4</v>
      </c>
    </row>
    <row r="438" spans="1:12">
      <c r="A438" s="3" t="s">
        <v>934</v>
      </c>
      <c r="B438" s="4" t="s">
        <v>935</v>
      </c>
      <c r="C438" s="4" t="s">
        <v>400</v>
      </c>
      <c r="D438" s="4" t="s">
        <v>489</v>
      </c>
      <c r="E438" s="4" t="s">
        <v>490</v>
      </c>
      <c r="F438" s="4" t="s">
        <v>45</v>
      </c>
      <c r="G438" s="4" t="s">
        <v>408</v>
      </c>
      <c r="H438" s="5">
        <f>ROUND(8700,0)</f>
        <v>8700</v>
      </c>
      <c r="I438" s="6">
        <f>ROUND(3695,2)</f>
        <v>3695</v>
      </c>
      <c r="J438" s="6">
        <f>ROUND(8.407077,2)</f>
        <v>8.41</v>
      </c>
      <c r="K438" s="5">
        <f>ROUND(2702581.01,0)</f>
        <v>2702581</v>
      </c>
      <c r="L438" s="7">
        <f>ROUND(0.000939262233700662,4)</f>
        <v>8.9999999999999998E-4</v>
      </c>
    </row>
    <row r="439" spans="1:12">
      <c r="A439" s="3" t="s">
        <v>936</v>
      </c>
      <c r="B439" s="4" t="s">
        <v>937</v>
      </c>
      <c r="C439" s="4" t="s">
        <v>545</v>
      </c>
      <c r="D439" s="4" t="s">
        <v>407</v>
      </c>
      <c r="E439" s="4" t="s">
        <v>35</v>
      </c>
      <c r="F439" s="4" t="s">
        <v>21</v>
      </c>
      <c r="G439" s="4" t="s">
        <v>408</v>
      </c>
      <c r="H439" s="5">
        <f>ROUND(2504,0)</f>
        <v>2504</v>
      </c>
      <c r="I439" s="6">
        <f>ROUND(118.51,2)</f>
        <v>118.51</v>
      </c>
      <c r="J439" s="6">
        <f>ROUND(9.08595,2)</f>
        <v>9.09</v>
      </c>
      <c r="K439" s="5">
        <f>ROUND(2696246.94,0)</f>
        <v>2696247</v>
      </c>
      <c r="L439" s="7">
        <f>ROUND(0.000937060874069034,4)</f>
        <v>8.9999999999999998E-4</v>
      </c>
    </row>
    <row r="440" spans="1:12">
      <c r="A440" s="3" t="s">
        <v>938</v>
      </c>
      <c r="B440" s="4" t="s">
        <v>939</v>
      </c>
      <c r="C440" s="4" t="s">
        <v>400</v>
      </c>
      <c r="D440" s="4" t="s">
        <v>655</v>
      </c>
      <c r="E440" s="4" t="s">
        <v>656</v>
      </c>
      <c r="F440" s="4" t="s">
        <v>26</v>
      </c>
      <c r="G440" s="4" t="s">
        <v>408</v>
      </c>
      <c r="H440" s="5">
        <f>ROUND(755000,0)</f>
        <v>755000</v>
      </c>
      <c r="I440" s="6">
        <f>ROUND(3.08,2)</f>
        <v>3.08</v>
      </c>
      <c r="J440" s="6">
        <f>ROUND(1.15901246,2)</f>
        <v>1.1599999999999999</v>
      </c>
      <c r="K440" s="5">
        <f>ROUND(2695167.57,0)</f>
        <v>2695168</v>
      </c>
      <c r="L440" s="7">
        <f>ROUND(0.000936685746931887,4)</f>
        <v>8.9999999999999998E-4</v>
      </c>
    </row>
    <row r="441" spans="1:12">
      <c r="A441" s="3" t="s">
        <v>940</v>
      </c>
      <c r="B441" s="4" t="s">
        <v>941</v>
      </c>
      <c r="C441" s="4" t="s">
        <v>430</v>
      </c>
      <c r="D441" s="4" t="s">
        <v>407</v>
      </c>
      <c r="E441" s="4" t="s">
        <v>35</v>
      </c>
      <c r="F441" s="4" t="s">
        <v>21</v>
      </c>
      <c r="G441" s="4" t="s">
        <v>408</v>
      </c>
      <c r="H441" s="5">
        <f>ROUND(3993,0)</f>
        <v>3993</v>
      </c>
      <c r="I441" s="6">
        <f>ROUND(74.22,2)</f>
        <v>74.22</v>
      </c>
      <c r="J441" s="6">
        <f>ROUND(9.08595,2)</f>
        <v>9.09</v>
      </c>
      <c r="K441" s="5">
        <f>ROUND(2692716.32,0)</f>
        <v>2692716</v>
      </c>
      <c r="L441" s="7">
        <f>ROUND(0.00093583383294972,4)</f>
        <v>8.9999999999999998E-4</v>
      </c>
    </row>
    <row r="442" spans="1:12">
      <c r="A442" s="3" t="s">
        <v>942</v>
      </c>
      <c r="B442" s="4" t="s">
        <v>943</v>
      </c>
      <c r="C442" s="4" t="s">
        <v>534</v>
      </c>
      <c r="D442" s="4" t="s">
        <v>489</v>
      </c>
      <c r="E442" s="4" t="s">
        <v>490</v>
      </c>
      <c r="F442" s="4" t="s">
        <v>45</v>
      </c>
      <c r="G442" s="4" t="s">
        <v>408</v>
      </c>
      <c r="H442" s="5">
        <f>ROUND(3100,0)</f>
        <v>3100</v>
      </c>
      <c r="I442" s="6">
        <f>ROUND(10310,2)</f>
        <v>10310</v>
      </c>
      <c r="J442" s="6">
        <f>ROUND(8.407077,2)</f>
        <v>8.41</v>
      </c>
      <c r="K442" s="5">
        <f>ROUND(2686985.88,0)</f>
        <v>2686986</v>
      </c>
      <c r="L442" s="7">
        <f>ROUND(0.000933842260503021,4)</f>
        <v>8.9999999999999998E-4</v>
      </c>
    </row>
    <row r="443" spans="1:12">
      <c r="A443" s="3" t="s">
        <v>944</v>
      </c>
      <c r="B443" s="4" t="s">
        <v>945</v>
      </c>
      <c r="C443" s="4" t="s">
        <v>415</v>
      </c>
      <c r="D443" s="4" t="s">
        <v>489</v>
      </c>
      <c r="E443" s="4" t="s">
        <v>490</v>
      </c>
      <c r="F443" s="4" t="s">
        <v>45</v>
      </c>
      <c r="G443" s="4" t="s">
        <v>408</v>
      </c>
      <c r="H443" s="5">
        <f>ROUND(11300,0)</f>
        <v>11300</v>
      </c>
      <c r="I443" s="6">
        <f>ROUND(2825,2)</f>
        <v>2825</v>
      </c>
      <c r="J443" s="6">
        <f>ROUND(8.407077,2)</f>
        <v>8.41</v>
      </c>
      <c r="K443" s="5">
        <f>ROUND(2683749.16,0)</f>
        <v>2683749</v>
      </c>
      <c r="L443" s="7">
        <f>ROUND(0.000932717362175898,4)</f>
        <v>8.9999999999999998E-4</v>
      </c>
    </row>
    <row r="444" spans="1:12">
      <c r="A444" s="3" t="s">
        <v>946</v>
      </c>
      <c r="B444" s="4" t="s">
        <v>947</v>
      </c>
      <c r="C444" s="4" t="s">
        <v>422</v>
      </c>
      <c r="D444" s="4" t="s">
        <v>407</v>
      </c>
      <c r="E444" s="4" t="s">
        <v>35</v>
      </c>
      <c r="F444" s="4" t="s">
        <v>21</v>
      </c>
      <c r="G444" s="4" t="s">
        <v>408</v>
      </c>
      <c r="H444" s="5">
        <f>ROUND(5264,0)</f>
        <v>5264</v>
      </c>
      <c r="I444" s="6">
        <f>ROUND(55.31,2)</f>
        <v>55.31</v>
      </c>
      <c r="J444" s="6">
        <f>ROUND(9.08595,2)</f>
        <v>9.09</v>
      </c>
      <c r="K444" s="5">
        <f>ROUND(2645391.06,0)</f>
        <v>2645391</v>
      </c>
      <c r="L444" s="7">
        <f>ROUND(0.00091938628549283,4)</f>
        <v>8.9999999999999998E-4</v>
      </c>
    </row>
    <row r="445" spans="1:12">
      <c r="A445" s="3" t="s">
        <v>948</v>
      </c>
      <c r="B445" s="4" t="s">
        <v>949</v>
      </c>
      <c r="C445" s="4" t="s">
        <v>566</v>
      </c>
      <c r="D445" s="4" t="s">
        <v>407</v>
      </c>
      <c r="E445" s="4" t="s">
        <v>35</v>
      </c>
      <c r="F445" s="4" t="s">
        <v>21</v>
      </c>
      <c r="G445" s="4" t="s">
        <v>408</v>
      </c>
      <c r="H445" s="5">
        <f>ROUND(500,0)</f>
        <v>500</v>
      </c>
      <c r="I445" s="6">
        <f>ROUND(576.8,2)</f>
        <v>576.79999999999995</v>
      </c>
      <c r="J445" s="6">
        <f>ROUND(9.08595,2)</f>
        <v>9.09</v>
      </c>
      <c r="K445" s="5">
        <f>ROUND(2620387.98,0)</f>
        <v>2620388</v>
      </c>
      <c r="L445" s="7">
        <f>ROUND(0.000910696648185641,4)</f>
        <v>8.9999999999999998E-4</v>
      </c>
    </row>
    <row r="446" spans="1:12">
      <c r="A446" s="3" t="s">
        <v>950</v>
      </c>
      <c r="B446" s="4" t="s">
        <v>951</v>
      </c>
      <c r="C446" s="4" t="s">
        <v>400</v>
      </c>
      <c r="D446" s="4" t="s">
        <v>789</v>
      </c>
      <c r="E446" s="4" t="s">
        <v>790</v>
      </c>
      <c r="F446" s="4" t="s">
        <v>791</v>
      </c>
      <c r="G446" s="4" t="s">
        <v>408</v>
      </c>
      <c r="H446" s="5">
        <f>ROUND(10334,0)</f>
        <v>10334</v>
      </c>
      <c r="I446" s="6">
        <f>ROUND(1977.05,2)</f>
        <v>1977.05</v>
      </c>
      <c r="J446" s="6">
        <f>ROUND(0.12820804,2)</f>
        <v>0.13</v>
      </c>
      <c r="K446" s="5">
        <f>ROUND(2619397.27,0)</f>
        <v>2619397</v>
      </c>
      <c r="L446" s="7">
        <f>ROUND(0.000910352334182062,4)</f>
        <v>8.9999999999999998E-4</v>
      </c>
    </row>
    <row r="447" spans="1:12">
      <c r="A447" s="3" t="s">
        <v>952</v>
      </c>
      <c r="B447" s="4" t="s">
        <v>953</v>
      </c>
      <c r="C447" s="4" t="s">
        <v>422</v>
      </c>
      <c r="D447" s="4" t="s">
        <v>407</v>
      </c>
      <c r="E447" s="4" t="s">
        <v>35</v>
      </c>
      <c r="F447" s="4" t="s">
        <v>21</v>
      </c>
      <c r="G447" s="4" t="s">
        <v>408</v>
      </c>
      <c r="H447" s="5">
        <f>ROUND(3628,0)</f>
        <v>3628</v>
      </c>
      <c r="I447" s="6">
        <f>ROUND(79.4,2)</f>
        <v>79.400000000000006</v>
      </c>
      <c r="J447" s="6">
        <f>ROUND(9.08595,2)</f>
        <v>9.09</v>
      </c>
      <c r="K447" s="5">
        <f>ROUND(2617327.83,0)</f>
        <v>2617328</v>
      </c>
      <c r="L447" s="7">
        <f>ROUND(0.000909633115468648,4)</f>
        <v>8.9999999999999998E-4</v>
      </c>
    </row>
    <row r="448" spans="1:12">
      <c r="A448" s="3" t="s">
        <v>954</v>
      </c>
      <c r="B448" s="4" t="s">
        <v>955</v>
      </c>
      <c r="C448" s="4" t="s">
        <v>534</v>
      </c>
      <c r="D448" s="4" t="s">
        <v>489</v>
      </c>
      <c r="E448" s="4" t="s">
        <v>490</v>
      </c>
      <c r="F448" s="4" t="s">
        <v>45</v>
      </c>
      <c r="G448" s="4" t="s">
        <v>408</v>
      </c>
      <c r="H448" s="5">
        <f>ROUND(1400,0)</f>
        <v>1400</v>
      </c>
      <c r="I448" s="6">
        <f>ROUND(22220,2)</f>
        <v>22220</v>
      </c>
      <c r="J448" s="6">
        <f>ROUND(8.407077,2)</f>
        <v>8.41</v>
      </c>
      <c r="K448" s="5">
        <f>ROUND(2615273.51,0)</f>
        <v>2615274</v>
      </c>
      <c r="L448" s="7">
        <f>ROUND(0.00090891915160048,4)</f>
        <v>8.9999999999999998E-4</v>
      </c>
    </row>
    <row r="449" spans="1:12">
      <c r="A449" s="3" t="s">
        <v>956</v>
      </c>
      <c r="B449" s="4" t="s">
        <v>957</v>
      </c>
      <c r="C449" s="4" t="s">
        <v>400</v>
      </c>
      <c r="D449" s="4" t="s">
        <v>407</v>
      </c>
      <c r="E449" s="4" t="s">
        <v>35</v>
      </c>
      <c r="F449" s="4" t="s">
        <v>21</v>
      </c>
      <c r="G449" s="4" t="s">
        <v>408</v>
      </c>
      <c r="H449" s="5">
        <f>ROUND(2643,0)</f>
        <v>2643</v>
      </c>
      <c r="I449" s="6">
        <f>ROUND(108.68,2)</f>
        <v>108.68</v>
      </c>
      <c r="J449" s="6">
        <f>ROUND(9.08595,2)</f>
        <v>9.09</v>
      </c>
      <c r="K449" s="5">
        <f>ROUND(2609859.54,0)</f>
        <v>2609860</v>
      </c>
      <c r="L449" s="7">
        <f>ROUND(0.000907037565984148,4)</f>
        <v>8.9999999999999998E-4</v>
      </c>
    </row>
    <row r="450" spans="1:12">
      <c r="A450" s="3" t="s">
        <v>958</v>
      </c>
      <c r="B450" s="4" t="s">
        <v>959</v>
      </c>
      <c r="C450" s="4" t="s">
        <v>400</v>
      </c>
      <c r="D450" s="4" t="s">
        <v>514</v>
      </c>
      <c r="E450" s="4" t="s">
        <v>515</v>
      </c>
      <c r="F450" s="4" t="s">
        <v>190</v>
      </c>
      <c r="G450" s="4" t="s">
        <v>408</v>
      </c>
      <c r="H450" s="5">
        <f>ROUND(5400,0)</f>
        <v>5400</v>
      </c>
      <c r="I450" s="6">
        <f>ROUND(70.35,2)</f>
        <v>70.349999999999994</v>
      </c>
      <c r="J450" s="6">
        <f>ROUND(6.86237833,2)</f>
        <v>6.86</v>
      </c>
      <c r="K450" s="5">
        <f>ROUND(2606948.9,0)</f>
        <v>2606949</v>
      </c>
      <c r="L450" s="7">
        <f>ROUND(0.000906025994372499,4)</f>
        <v>8.9999999999999998E-4</v>
      </c>
    </row>
    <row r="451" spans="1:12">
      <c r="A451" s="3" t="s">
        <v>960</v>
      </c>
      <c r="B451" s="4" t="s">
        <v>961</v>
      </c>
      <c r="C451" s="4" t="s">
        <v>422</v>
      </c>
      <c r="D451" s="4" t="s">
        <v>390</v>
      </c>
      <c r="E451" s="4" t="s">
        <v>391</v>
      </c>
      <c r="F451" s="4" t="s">
        <v>72</v>
      </c>
      <c r="G451" s="4" t="s">
        <v>408</v>
      </c>
      <c r="H451" s="5">
        <f>ROUND(11335,0)</f>
        <v>11335</v>
      </c>
      <c r="I451" s="6">
        <f>ROUND(37.28,2)</f>
        <v>37.28</v>
      </c>
      <c r="J451" s="6">
        <f>ROUND(6.12812423,2)</f>
        <v>6.13</v>
      </c>
      <c r="K451" s="5">
        <f>ROUND(2589554.1,0)</f>
        <v>2589554</v>
      </c>
      <c r="L451" s="7">
        <f>ROUND(0.000899980559048887,4)</f>
        <v>8.9999999999999998E-4</v>
      </c>
    </row>
    <row r="452" spans="1:12">
      <c r="A452" s="3" t="s">
        <v>962</v>
      </c>
      <c r="B452" s="4" t="s">
        <v>963</v>
      </c>
      <c r="C452" s="4" t="s">
        <v>534</v>
      </c>
      <c r="D452" s="4" t="s">
        <v>489</v>
      </c>
      <c r="E452" s="4" t="s">
        <v>490</v>
      </c>
      <c r="F452" s="4" t="s">
        <v>45</v>
      </c>
      <c r="G452" s="4" t="s">
        <v>408</v>
      </c>
      <c r="H452" s="5">
        <f>ROUND(11600,0)</f>
        <v>11600</v>
      </c>
      <c r="I452" s="6">
        <f>ROUND(2651,2)</f>
        <v>2651</v>
      </c>
      <c r="J452" s="6">
        <f>ROUND(8.407077,2)</f>
        <v>8.41</v>
      </c>
      <c r="K452" s="5">
        <f>ROUND(2585310.69,0)</f>
        <v>2585311</v>
      </c>
      <c r="L452" s="7">
        <f>ROUND(0.000898505792986238,4)</f>
        <v>8.9999999999999998E-4</v>
      </c>
    </row>
    <row r="453" spans="1:12">
      <c r="A453" s="3" t="s">
        <v>964</v>
      </c>
      <c r="B453" s="4" t="s">
        <v>965</v>
      </c>
      <c r="C453" s="4" t="s">
        <v>400</v>
      </c>
      <c r="D453" s="4" t="s">
        <v>407</v>
      </c>
      <c r="E453" s="4" t="s">
        <v>35</v>
      </c>
      <c r="F453" s="4" t="s">
        <v>21</v>
      </c>
      <c r="G453" s="4" t="s">
        <v>408</v>
      </c>
      <c r="H453" s="5">
        <f>ROUND(6250,0)</f>
        <v>6250</v>
      </c>
      <c r="I453" s="6">
        <f>ROUND(45.21,2)</f>
        <v>45.21</v>
      </c>
      <c r="J453" s="6">
        <f>ROUND(9.08595,2)</f>
        <v>9.09</v>
      </c>
      <c r="K453" s="5">
        <f>ROUND(2567348.75,0)</f>
        <v>2567349</v>
      </c>
      <c r="L453" s="7">
        <f>ROUND(0.00089226325230991,4)</f>
        <v>8.9999999999999998E-4</v>
      </c>
    </row>
    <row r="454" spans="1:12">
      <c r="A454" s="3" t="s">
        <v>966</v>
      </c>
      <c r="B454" s="4" t="s">
        <v>967</v>
      </c>
      <c r="C454" s="4" t="s">
        <v>422</v>
      </c>
      <c r="D454" s="4" t="s">
        <v>407</v>
      </c>
      <c r="E454" s="4" t="s">
        <v>35</v>
      </c>
      <c r="F454" s="4" t="s">
        <v>21</v>
      </c>
      <c r="G454" s="4" t="s">
        <v>408</v>
      </c>
      <c r="H454" s="5">
        <f>ROUND(1359,0)</f>
        <v>1359</v>
      </c>
      <c r="I454" s="6">
        <f>ROUND(207.28,2)</f>
        <v>207.28</v>
      </c>
      <c r="J454" s="6">
        <f>ROUND(9.08595,2)</f>
        <v>9.09</v>
      </c>
      <c r="K454" s="5">
        <f>ROUND(2559453.24,0)</f>
        <v>2559453</v>
      </c>
      <c r="L454" s="7">
        <f>ROUND(0.000889519225643784,4)</f>
        <v>8.9999999999999998E-4</v>
      </c>
    </row>
    <row r="455" spans="1:12">
      <c r="A455" s="3" t="s">
        <v>968</v>
      </c>
      <c r="B455" s="4" t="s">
        <v>969</v>
      </c>
      <c r="C455" s="4" t="s">
        <v>534</v>
      </c>
      <c r="D455" s="4" t="s">
        <v>489</v>
      </c>
      <c r="E455" s="4" t="s">
        <v>490</v>
      </c>
      <c r="F455" s="4" t="s">
        <v>45</v>
      </c>
      <c r="G455" s="4" t="s">
        <v>408</v>
      </c>
      <c r="H455" s="5">
        <f>ROUND(17100,0)</f>
        <v>17100</v>
      </c>
      <c r="I455" s="6">
        <f>ROUND(1768,2)</f>
        <v>1768</v>
      </c>
      <c r="J455" s="6">
        <f>ROUND(8.407077,2)</f>
        <v>8.41</v>
      </c>
      <c r="K455" s="5">
        <f>ROUND(2541694.78,0)</f>
        <v>2541695</v>
      </c>
      <c r="L455" s="7">
        <f>ROUND(0.000883347402950971,4)</f>
        <v>8.9999999999999998E-4</v>
      </c>
    </row>
    <row r="456" spans="1:12">
      <c r="A456" s="3" t="s">
        <v>970</v>
      </c>
      <c r="B456" s="4" t="s">
        <v>971</v>
      </c>
      <c r="C456" s="4" t="s">
        <v>545</v>
      </c>
      <c r="D456" s="4" t="s">
        <v>390</v>
      </c>
      <c r="E456" s="4" t="s">
        <v>391</v>
      </c>
      <c r="F456" s="4" t="s">
        <v>72</v>
      </c>
      <c r="G456" s="4" t="s">
        <v>408</v>
      </c>
      <c r="H456" s="5">
        <f>ROUND(47101,0)</f>
        <v>47101</v>
      </c>
      <c r="I456" s="6">
        <f>ROUND(8.8,2)</f>
        <v>8.8000000000000007</v>
      </c>
      <c r="J456" s="6">
        <f>ROUND(6.12812423,2)</f>
        <v>6.13</v>
      </c>
      <c r="K456" s="5">
        <f>ROUND(2540038.86,0)</f>
        <v>2540039</v>
      </c>
      <c r="L456" s="7">
        <f>ROUND(0.000882771900084535,4)</f>
        <v>8.9999999999999998E-4</v>
      </c>
    </row>
    <row r="457" spans="1:12">
      <c r="A457" s="3" t="s">
        <v>972</v>
      </c>
      <c r="B457" s="4" t="s">
        <v>973</v>
      </c>
      <c r="C457" s="4" t="s">
        <v>430</v>
      </c>
      <c r="D457" s="4" t="s">
        <v>407</v>
      </c>
      <c r="E457" s="4" t="s">
        <v>35</v>
      </c>
      <c r="F457" s="4" t="s">
        <v>21</v>
      </c>
      <c r="G457" s="4" t="s">
        <v>408</v>
      </c>
      <c r="H457" s="5">
        <f>ROUND(3276,0)</f>
        <v>3276</v>
      </c>
      <c r="I457" s="6">
        <f>ROUND(85.24,2)</f>
        <v>85.24</v>
      </c>
      <c r="J457" s="6">
        <f>ROUND(9.08595,2)</f>
        <v>9.09</v>
      </c>
      <c r="K457" s="5">
        <f>ROUND(2537217.37,0)</f>
        <v>2537217</v>
      </c>
      <c r="L457" s="7">
        <f>ROUND(0.000881791311902365,4)</f>
        <v>8.9999999999999998E-4</v>
      </c>
    </row>
    <row r="458" spans="1:12">
      <c r="A458" s="3" t="s">
        <v>974</v>
      </c>
      <c r="B458" s="4" t="s">
        <v>975</v>
      </c>
      <c r="C458" s="4" t="s">
        <v>545</v>
      </c>
      <c r="D458" s="4" t="s">
        <v>489</v>
      </c>
      <c r="E458" s="4" t="s">
        <v>490</v>
      </c>
      <c r="F458" s="4" t="s">
        <v>45</v>
      </c>
      <c r="G458" s="4" t="s">
        <v>408</v>
      </c>
      <c r="H458" s="5">
        <f>ROUND(2600,0)</f>
        <v>2600</v>
      </c>
      <c r="I458" s="6">
        <f>ROUND(11560,2)</f>
        <v>11560</v>
      </c>
      <c r="J458" s="6">
        <f>ROUND(8.407077,2)</f>
        <v>8.41</v>
      </c>
      <c r="K458" s="5">
        <f>ROUND(2526831.06,0)</f>
        <v>2526831</v>
      </c>
      <c r="L458" s="7">
        <f>ROUND(0.000878181625941274,4)</f>
        <v>8.9999999999999998E-4</v>
      </c>
    </row>
    <row r="459" spans="1:12">
      <c r="A459" s="3" t="s">
        <v>976</v>
      </c>
      <c r="B459" s="4" t="s">
        <v>977</v>
      </c>
      <c r="C459" s="4" t="s">
        <v>534</v>
      </c>
      <c r="D459" s="4" t="s">
        <v>486</v>
      </c>
      <c r="E459" s="4" t="s">
        <v>30</v>
      </c>
      <c r="F459" s="4" t="s">
        <v>20</v>
      </c>
      <c r="G459" s="4" t="s">
        <v>408</v>
      </c>
      <c r="H459" s="5">
        <f>ROUND(11596,0)</f>
        <v>11596</v>
      </c>
      <c r="I459" s="6">
        <f>ROUND(1932.5,2)</f>
        <v>1932.5</v>
      </c>
      <c r="J459" s="6">
        <f>ROUND(11.19645077,2)</f>
        <v>11.2</v>
      </c>
      <c r="K459" s="5">
        <f>ROUND(2509042.88,0)</f>
        <v>2509043</v>
      </c>
      <c r="L459" s="7">
        <f>ROUND(0.000871999474280159,4)</f>
        <v>8.9999999999999998E-4</v>
      </c>
    </row>
    <row r="460" spans="1:12">
      <c r="A460" s="3" t="s">
        <v>978</v>
      </c>
      <c r="B460" s="4" t="s">
        <v>979</v>
      </c>
      <c r="C460" s="4" t="s">
        <v>534</v>
      </c>
      <c r="D460" s="4" t="s">
        <v>489</v>
      </c>
      <c r="E460" s="4" t="s">
        <v>490</v>
      </c>
      <c r="F460" s="4" t="s">
        <v>45</v>
      </c>
      <c r="G460" s="4" t="s">
        <v>408</v>
      </c>
      <c r="H460" s="5">
        <f>ROUND(2100,0)</f>
        <v>2100</v>
      </c>
      <c r="I460" s="6">
        <f>ROUND(14180,2)</f>
        <v>14180</v>
      </c>
      <c r="J460" s="6">
        <f>ROUND(8.407077,2)</f>
        <v>8.41</v>
      </c>
      <c r="K460" s="5">
        <f>ROUND(2503459.39,0)</f>
        <v>2503459</v>
      </c>
      <c r="L460" s="7">
        <f>ROUND(0.000870058973229556,4)</f>
        <v>8.9999999999999998E-4</v>
      </c>
    </row>
    <row r="461" spans="1:12">
      <c r="A461" s="3" t="s">
        <v>980</v>
      </c>
      <c r="B461" s="4" t="s">
        <v>981</v>
      </c>
      <c r="C461" s="4" t="s">
        <v>422</v>
      </c>
      <c r="D461" s="4" t="s">
        <v>407</v>
      </c>
      <c r="E461" s="4" t="s">
        <v>35</v>
      </c>
      <c r="F461" s="4" t="s">
        <v>21</v>
      </c>
      <c r="G461" s="4" t="s">
        <v>408</v>
      </c>
      <c r="H461" s="5">
        <f>ROUND(3647,0)</f>
        <v>3647</v>
      </c>
      <c r="I461" s="6">
        <f>ROUND(75.24,2)</f>
        <v>75.239999999999995</v>
      </c>
      <c r="J461" s="6">
        <f>ROUND(9.08595,2)</f>
        <v>9.09</v>
      </c>
      <c r="K461" s="5">
        <f>ROUND(2493187.22,0)</f>
        <v>2493187</v>
      </c>
      <c r="L461" s="7">
        <f>ROUND(0.000866488955789393,4)</f>
        <v>8.9999999999999998E-4</v>
      </c>
    </row>
    <row r="462" spans="1:12">
      <c r="A462" s="3" t="s">
        <v>982</v>
      </c>
      <c r="B462" s="4" t="s">
        <v>983</v>
      </c>
      <c r="C462" s="4" t="s">
        <v>400</v>
      </c>
      <c r="D462" s="4" t="s">
        <v>514</v>
      </c>
      <c r="E462" s="4" t="s">
        <v>515</v>
      </c>
      <c r="F462" s="4" t="s">
        <v>190</v>
      </c>
      <c r="G462" s="4" t="s">
        <v>408</v>
      </c>
      <c r="H462" s="5">
        <f>ROUND(6115,0)</f>
        <v>6115</v>
      </c>
      <c r="I462" s="6">
        <f>ROUND(59.24,2)</f>
        <v>59.24</v>
      </c>
      <c r="J462" s="6">
        <f>ROUND(6.86237833,2)</f>
        <v>6.86</v>
      </c>
      <c r="K462" s="5">
        <f>ROUND(2485914.39,0)</f>
        <v>2485914</v>
      </c>
      <c r="L462" s="7">
        <f>ROUND(0.000863961336996155,4)</f>
        <v>8.9999999999999998E-4</v>
      </c>
    </row>
    <row r="463" spans="1:12">
      <c r="A463" s="3" t="s">
        <v>984</v>
      </c>
      <c r="B463" s="4" t="s">
        <v>985</v>
      </c>
      <c r="C463" s="4" t="s">
        <v>430</v>
      </c>
      <c r="D463" s="4" t="s">
        <v>407</v>
      </c>
      <c r="E463" s="4" t="s">
        <v>35</v>
      </c>
      <c r="F463" s="4" t="s">
        <v>21</v>
      </c>
      <c r="G463" s="4" t="s">
        <v>408</v>
      </c>
      <c r="H463" s="5">
        <f>ROUND(6151,0)</f>
        <v>6151</v>
      </c>
      <c r="I463" s="6">
        <f>ROUND(44.47,2)</f>
        <v>44.47</v>
      </c>
      <c r="J463" s="6">
        <f>ROUND(9.08595,2)</f>
        <v>9.09</v>
      </c>
      <c r="K463" s="5">
        <f>ROUND(2485325.06,0)</f>
        <v>2485325</v>
      </c>
      <c r="L463" s="7">
        <f>ROUND(0.000863756519671479,4)</f>
        <v>8.9999999999999998E-4</v>
      </c>
    </row>
    <row r="464" spans="1:12">
      <c r="A464" s="3" t="s">
        <v>986</v>
      </c>
      <c r="B464" s="4" t="s">
        <v>987</v>
      </c>
      <c r="C464" s="4" t="s">
        <v>493</v>
      </c>
      <c r="D464" s="4" t="s">
        <v>407</v>
      </c>
      <c r="E464" s="4" t="s">
        <v>35</v>
      </c>
      <c r="F464" s="4" t="s">
        <v>21</v>
      </c>
      <c r="G464" s="4" t="s">
        <v>408</v>
      </c>
      <c r="H464" s="5">
        <f>ROUND(2200,0)</f>
        <v>2200</v>
      </c>
      <c r="I464" s="6">
        <f>ROUND(124.23,2)</f>
        <v>124.23</v>
      </c>
      <c r="J464" s="6">
        <f>ROUND(9.08595,2)</f>
        <v>9.09</v>
      </c>
      <c r="K464" s="5">
        <f>ROUND(2483244.65,0)</f>
        <v>2483245</v>
      </c>
      <c r="L464" s="7">
        <f>ROUND(0.00086303348841492,4)</f>
        <v>8.9999999999999998E-4</v>
      </c>
    </row>
    <row r="465" spans="1:12">
      <c r="A465" s="3" t="s">
        <v>988</v>
      </c>
      <c r="B465" s="4" t="s">
        <v>989</v>
      </c>
      <c r="C465" s="4" t="s">
        <v>493</v>
      </c>
      <c r="D465" s="4" t="s">
        <v>541</v>
      </c>
      <c r="E465" s="4" t="s">
        <v>542</v>
      </c>
      <c r="F465" s="4" t="s">
        <v>18</v>
      </c>
      <c r="G465" s="4" t="s">
        <v>408</v>
      </c>
      <c r="H465" s="5">
        <f>ROUND(28097,0)</f>
        <v>28097</v>
      </c>
      <c r="I465" s="6">
        <f>ROUND(8.919,2)</f>
        <v>8.92</v>
      </c>
      <c r="J465" s="6">
        <f>ROUND(9.9055,2)</f>
        <v>9.91</v>
      </c>
      <c r="K465" s="5">
        <f>ROUND(2482289.97,0)</f>
        <v>2482290</v>
      </c>
      <c r="L465" s="7">
        <f>ROUND(0.000862701696373922,4)</f>
        <v>8.9999999999999998E-4</v>
      </c>
    </row>
    <row r="466" spans="1:12">
      <c r="A466" s="3" t="s">
        <v>990</v>
      </c>
      <c r="B466" s="4" t="s">
        <v>991</v>
      </c>
      <c r="C466" s="4" t="s">
        <v>422</v>
      </c>
      <c r="D466" s="4" t="s">
        <v>514</v>
      </c>
      <c r="E466" s="4" t="s">
        <v>515</v>
      </c>
      <c r="F466" s="4" t="s">
        <v>190</v>
      </c>
      <c r="G466" s="4" t="s">
        <v>408</v>
      </c>
      <c r="H466" s="5">
        <f>ROUND(4789,0)</f>
        <v>4789</v>
      </c>
      <c r="I466" s="6">
        <f>ROUND(75.46,2)</f>
        <v>75.459999999999994</v>
      </c>
      <c r="J466" s="6">
        <f>ROUND(6.86237833,2)</f>
        <v>6.86</v>
      </c>
      <c r="K466" s="5">
        <f>ROUND(2479912.14,0)</f>
        <v>2479912</v>
      </c>
      <c r="L466" s="7">
        <f>ROUND(0.000861875298974956,4)</f>
        <v>8.9999999999999998E-4</v>
      </c>
    </row>
    <row r="467" spans="1:12">
      <c r="A467" s="3" t="s">
        <v>992</v>
      </c>
      <c r="B467" s="4" t="s">
        <v>993</v>
      </c>
      <c r="C467" s="4" t="s">
        <v>406</v>
      </c>
      <c r="D467" s="4" t="s">
        <v>577</v>
      </c>
      <c r="E467" s="4" t="s">
        <v>578</v>
      </c>
      <c r="F467" s="4" t="s">
        <v>21</v>
      </c>
      <c r="G467" s="4" t="s">
        <v>408</v>
      </c>
      <c r="H467" s="5">
        <f>ROUND(2479,0)</f>
        <v>2479</v>
      </c>
      <c r="I467" s="6">
        <f>ROUND(109.12,2)</f>
        <v>109.12</v>
      </c>
      <c r="J467" s="6">
        <f>ROUND(9.08595,2)</f>
        <v>9.09</v>
      </c>
      <c r="K467" s="5">
        <f>ROUND(2457826.52,0)</f>
        <v>2457827</v>
      </c>
      <c r="L467" s="7">
        <f>ROUND(0.00085419960352046,4)</f>
        <v>8.9999999999999998E-4</v>
      </c>
    </row>
    <row r="468" spans="1:12">
      <c r="A468" s="3" t="s">
        <v>994</v>
      </c>
      <c r="B468" s="4" t="s">
        <v>995</v>
      </c>
      <c r="C468" s="4" t="s">
        <v>534</v>
      </c>
      <c r="D468" s="4" t="s">
        <v>514</v>
      </c>
      <c r="E468" s="4" t="s">
        <v>515</v>
      </c>
      <c r="F468" s="4" t="s">
        <v>21</v>
      </c>
      <c r="G468" s="4" t="s">
        <v>408</v>
      </c>
      <c r="H468" s="5">
        <f>ROUND(2917,0)</f>
        <v>2917</v>
      </c>
      <c r="I468" s="6">
        <f>ROUND(92,2)</f>
        <v>92</v>
      </c>
      <c r="J468" s="6">
        <f>ROUND(9.08595,2)</f>
        <v>9.09</v>
      </c>
      <c r="K468" s="5">
        <f>ROUND(2438341.89,0)</f>
        <v>2438342</v>
      </c>
      <c r="L468" s="7">
        <f>ROUND(0.00084742786308829,4)</f>
        <v>8.0000000000000004E-4</v>
      </c>
    </row>
    <row r="469" spans="1:12">
      <c r="A469" s="3" t="s">
        <v>996</v>
      </c>
      <c r="B469" s="4" t="s">
        <v>997</v>
      </c>
      <c r="C469" s="4" t="s">
        <v>406</v>
      </c>
      <c r="D469" s="4" t="s">
        <v>407</v>
      </c>
      <c r="E469" s="4" t="s">
        <v>35</v>
      </c>
      <c r="F469" s="4" t="s">
        <v>21</v>
      </c>
      <c r="G469" s="4" t="s">
        <v>408</v>
      </c>
      <c r="H469" s="5">
        <f>ROUND(5095,0)</f>
        <v>5095</v>
      </c>
      <c r="I469" s="6">
        <f>ROUND(52.59,2)</f>
        <v>52.59</v>
      </c>
      <c r="J469" s="6">
        <f>ROUND(9.08595,2)</f>
        <v>9.09</v>
      </c>
      <c r="K469" s="5">
        <f>ROUND(2434544.41,0)</f>
        <v>2434544</v>
      </c>
      <c r="L469" s="7">
        <f>ROUND(0.000846108076730717,4)</f>
        <v>8.0000000000000004E-4</v>
      </c>
    </row>
    <row r="470" spans="1:12">
      <c r="A470" s="3" t="s">
        <v>998</v>
      </c>
      <c r="B470" s="4" t="s">
        <v>999</v>
      </c>
      <c r="C470" s="4" t="s">
        <v>493</v>
      </c>
      <c r="D470" s="4" t="s">
        <v>486</v>
      </c>
      <c r="E470" s="4" t="s">
        <v>30</v>
      </c>
      <c r="F470" s="4" t="s">
        <v>20</v>
      </c>
      <c r="G470" s="4" t="s">
        <v>408</v>
      </c>
      <c r="H470" s="5">
        <f>ROUND(24401,0)</f>
        <v>24401</v>
      </c>
      <c r="I470" s="6">
        <f>ROUND(881.9,2)</f>
        <v>881.9</v>
      </c>
      <c r="J470" s="6">
        <f>ROUND(11.19645077,2)</f>
        <v>11.2</v>
      </c>
      <c r="K470" s="5">
        <f>ROUND(2409391.34,0)</f>
        <v>2409391</v>
      </c>
      <c r="L470" s="7">
        <f>ROUND(0.000837366311497701,4)</f>
        <v>8.0000000000000004E-4</v>
      </c>
    </row>
    <row r="471" spans="1:12">
      <c r="A471" s="3" t="s">
        <v>1000</v>
      </c>
      <c r="B471" s="4" t="s">
        <v>1001</v>
      </c>
      <c r="C471" s="4" t="s">
        <v>493</v>
      </c>
      <c r="D471" s="4" t="s">
        <v>407</v>
      </c>
      <c r="E471" s="4" t="s">
        <v>35</v>
      </c>
      <c r="F471" s="4" t="s">
        <v>21</v>
      </c>
      <c r="G471" s="4" t="s">
        <v>408</v>
      </c>
      <c r="H471" s="5">
        <f>ROUND(8727,0)</f>
        <v>8727</v>
      </c>
      <c r="I471" s="6">
        <f>ROUND(30.18,2)</f>
        <v>30.18</v>
      </c>
      <c r="J471" s="6">
        <f>ROUND(9.08595,2)</f>
        <v>9.09</v>
      </c>
      <c r="K471" s="5">
        <f>ROUND(2393065.32,0)</f>
        <v>2393065</v>
      </c>
      <c r="L471" s="7">
        <f>ROUND(0.000831692322834307,4)</f>
        <v>8.0000000000000004E-4</v>
      </c>
    </row>
    <row r="472" spans="1:12">
      <c r="A472" s="3" t="s">
        <v>1002</v>
      </c>
      <c r="B472" s="4" t="s">
        <v>1003</v>
      </c>
      <c r="C472" s="4" t="s">
        <v>415</v>
      </c>
      <c r="D472" s="4" t="s">
        <v>407</v>
      </c>
      <c r="E472" s="4" t="s">
        <v>35</v>
      </c>
      <c r="F472" s="4" t="s">
        <v>21</v>
      </c>
      <c r="G472" s="4" t="s">
        <v>408</v>
      </c>
      <c r="H472" s="5">
        <f>ROUND(4963,0)</f>
        <v>4963</v>
      </c>
      <c r="I472" s="6">
        <f>ROUND(52.92,2)</f>
        <v>52.92</v>
      </c>
      <c r="J472" s="6">
        <f>ROUND(9.08595,2)</f>
        <v>9.09</v>
      </c>
      <c r="K472" s="5">
        <f>ROUND(2386351.72,0)</f>
        <v>2386352</v>
      </c>
      <c r="L472" s="7">
        <f>ROUND(0.000829359060331226,4)</f>
        <v>8.0000000000000004E-4</v>
      </c>
    </row>
    <row r="473" spans="1:12">
      <c r="A473" s="3" t="s">
        <v>1004</v>
      </c>
      <c r="B473" s="4" t="s">
        <v>1005</v>
      </c>
      <c r="C473" s="4" t="s">
        <v>389</v>
      </c>
      <c r="D473" s="4" t="s">
        <v>407</v>
      </c>
      <c r="E473" s="4" t="s">
        <v>35</v>
      </c>
      <c r="F473" s="4" t="s">
        <v>21</v>
      </c>
      <c r="G473" s="4" t="s">
        <v>408</v>
      </c>
      <c r="H473" s="5">
        <f>ROUND(28595,0)</f>
        <v>28595</v>
      </c>
      <c r="I473" s="6">
        <f>ROUND(9.16,2)</f>
        <v>9.16</v>
      </c>
      <c r="J473" s="6">
        <f>ROUND(9.08595,2)</f>
        <v>9.09</v>
      </c>
      <c r="K473" s="5">
        <f>ROUND(2379884.7,0)</f>
        <v>2379885</v>
      </c>
      <c r="L473" s="7">
        <f>ROUND(0.000827111494900954,4)</f>
        <v>8.0000000000000004E-4</v>
      </c>
    </row>
    <row r="474" spans="1:12">
      <c r="A474" s="3" t="s">
        <v>1006</v>
      </c>
      <c r="B474" s="4" t="s">
        <v>1007</v>
      </c>
      <c r="C474" s="4" t="s">
        <v>389</v>
      </c>
      <c r="D474" s="4" t="s">
        <v>489</v>
      </c>
      <c r="E474" s="4" t="s">
        <v>490</v>
      </c>
      <c r="F474" s="4" t="s">
        <v>45</v>
      </c>
      <c r="G474" s="4" t="s">
        <v>408</v>
      </c>
      <c r="H474" s="5">
        <f>ROUND(10100,0)</f>
        <v>10100</v>
      </c>
      <c r="I474" s="6">
        <f>ROUND(2798.5,2)</f>
        <v>2798.5</v>
      </c>
      <c r="J474" s="6">
        <f>ROUND(8.407077,2)</f>
        <v>8.41</v>
      </c>
      <c r="K474" s="5">
        <f>ROUND(2376247.7,0)</f>
        <v>2376248</v>
      </c>
      <c r="L474" s="7">
        <f>ROUND(0.00082584748219187,4)</f>
        <v>8.0000000000000004E-4</v>
      </c>
    </row>
    <row r="475" spans="1:12">
      <c r="A475" s="3" t="s">
        <v>1008</v>
      </c>
      <c r="B475" s="4" t="s">
        <v>1009</v>
      </c>
      <c r="C475" s="4" t="s">
        <v>545</v>
      </c>
      <c r="D475" s="4" t="s">
        <v>407</v>
      </c>
      <c r="E475" s="4" t="s">
        <v>35</v>
      </c>
      <c r="F475" s="4" t="s">
        <v>21</v>
      </c>
      <c r="G475" s="4" t="s">
        <v>408</v>
      </c>
      <c r="H475" s="5">
        <f>ROUND(5485,0)</f>
        <v>5485</v>
      </c>
      <c r="I475" s="6">
        <f>ROUND(47.65,2)</f>
        <v>47.65</v>
      </c>
      <c r="J475" s="6">
        <f>ROUND(9.08595,2)</f>
        <v>9.09</v>
      </c>
      <c r="K475" s="5">
        <f>ROUND(2374706.16,0)</f>
        <v>2374706</v>
      </c>
      <c r="L475" s="7">
        <f>ROUND(0.000825311731256604,4)</f>
        <v>8.0000000000000004E-4</v>
      </c>
    </row>
    <row r="476" spans="1:12">
      <c r="A476" s="3" t="s">
        <v>1010</v>
      </c>
      <c r="B476" s="4" t="s">
        <v>1011</v>
      </c>
      <c r="C476" s="4" t="s">
        <v>534</v>
      </c>
      <c r="D476" s="4" t="s">
        <v>489</v>
      </c>
      <c r="E476" s="4" t="s">
        <v>490</v>
      </c>
      <c r="F476" s="4" t="s">
        <v>45</v>
      </c>
      <c r="G476" s="4" t="s">
        <v>408</v>
      </c>
      <c r="H476" s="5">
        <f>ROUND(12600,0)</f>
        <v>12600</v>
      </c>
      <c r="I476" s="6">
        <f>ROUND(2231,2)</f>
        <v>2231</v>
      </c>
      <c r="J476" s="6">
        <f>ROUND(8.407077,2)</f>
        <v>8.41</v>
      </c>
      <c r="K476" s="5">
        <f>ROUND(2363279.79,0)</f>
        <v>2363280</v>
      </c>
      <c r="L476" s="7">
        <f>ROUND(0.000821340580060921,4)</f>
        <v>8.0000000000000004E-4</v>
      </c>
    </row>
    <row r="477" spans="1:12">
      <c r="A477" s="3" t="s">
        <v>1012</v>
      </c>
      <c r="B477" s="4" t="s">
        <v>1013</v>
      </c>
      <c r="C477" s="4" t="s">
        <v>415</v>
      </c>
      <c r="D477" s="4" t="s">
        <v>489</v>
      </c>
      <c r="E477" s="4" t="s">
        <v>490</v>
      </c>
      <c r="F477" s="4" t="s">
        <v>45</v>
      </c>
      <c r="G477" s="4" t="s">
        <v>408</v>
      </c>
      <c r="H477" s="5">
        <f>ROUND(700,0)</f>
        <v>700</v>
      </c>
      <c r="I477" s="6">
        <f>ROUND(40020,2)</f>
        <v>40020</v>
      </c>
      <c r="J477" s="6">
        <f>ROUND(8.407077,2)</f>
        <v>8.41</v>
      </c>
      <c r="K477" s="5">
        <f>ROUND(2355158.55,0)</f>
        <v>2355159</v>
      </c>
      <c r="L477" s="7">
        <f>ROUND(0.000818518102586761,4)</f>
        <v>8.0000000000000004E-4</v>
      </c>
    </row>
    <row r="478" spans="1:12">
      <c r="A478" s="3" t="s">
        <v>1014</v>
      </c>
      <c r="B478" s="4" t="s">
        <v>1015</v>
      </c>
      <c r="C478" s="4" t="s">
        <v>400</v>
      </c>
      <c r="D478" s="4" t="s">
        <v>577</v>
      </c>
      <c r="E478" s="4" t="s">
        <v>578</v>
      </c>
      <c r="F478" s="4" t="s">
        <v>18</v>
      </c>
      <c r="G478" s="4" t="s">
        <v>408</v>
      </c>
      <c r="H478" s="5">
        <f>ROUND(24717,0)</f>
        <v>24717</v>
      </c>
      <c r="I478" s="6">
        <f>ROUND(9.604,2)</f>
        <v>9.6</v>
      </c>
      <c r="J478" s="6">
        <f>ROUND(9.9055,2)</f>
        <v>9.91</v>
      </c>
      <c r="K478" s="5">
        <f>ROUND(2351388.09,0)</f>
        <v>2351388</v>
      </c>
      <c r="L478" s="7">
        <f>ROUND(0.000817207706832267,4)</f>
        <v>8.0000000000000004E-4</v>
      </c>
    </row>
    <row r="479" spans="1:12">
      <c r="A479" s="3" t="s">
        <v>1016</v>
      </c>
      <c r="B479" s="4" t="s">
        <v>1017</v>
      </c>
      <c r="C479" s="4" t="s">
        <v>389</v>
      </c>
      <c r="D479" s="4" t="s">
        <v>407</v>
      </c>
      <c r="E479" s="4" t="s">
        <v>35</v>
      </c>
      <c r="F479" s="4" t="s">
        <v>21</v>
      </c>
      <c r="G479" s="4" t="s">
        <v>408</v>
      </c>
      <c r="H479" s="5">
        <f>ROUND(2896,0)</f>
        <v>2896</v>
      </c>
      <c r="I479" s="6">
        <f>ROUND(88.99,2)</f>
        <v>88.99</v>
      </c>
      <c r="J479" s="6">
        <f>ROUND(9.08595,2)</f>
        <v>9.09</v>
      </c>
      <c r="K479" s="5">
        <f>ROUND(2341585.97,0)</f>
        <v>2341586</v>
      </c>
      <c r="L479" s="7">
        <f>ROUND(0.000813801051826502,4)</f>
        <v>8.0000000000000004E-4</v>
      </c>
    </row>
    <row r="480" spans="1:12">
      <c r="A480" s="3" t="s">
        <v>1018</v>
      </c>
      <c r="B480" s="4" t="s">
        <v>1019</v>
      </c>
      <c r="C480" s="4" t="s">
        <v>406</v>
      </c>
      <c r="D480" s="4" t="s">
        <v>789</v>
      </c>
      <c r="E480" s="4" t="s">
        <v>790</v>
      </c>
      <c r="F480" s="4" t="s">
        <v>791</v>
      </c>
      <c r="G480" s="4" t="s">
        <v>408</v>
      </c>
      <c r="H480" s="5">
        <f>ROUND(22595,0)</f>
        <v>22595</v>
      </c>
      <c r="I480" s="6">
        <f>ROUND(805.65,2)</f>
        <v>805.65</v>
      </c>
      <c r="J480" s="6">
        <f>ROUND(0.12820804,2)</f>
        <v>0.13</v>
      </c>
      <c r="K480" s="5">
        <f>ROUND(2333855.79,0)</f>
        <v>2333856</v>
      </c>
      <c r="L480" s="7">
        <f>ROUND(0.000811114484390839,4)</f>
        <v>8.0000000000000004E-4</v>
      </c>
    </row>
    <row r="481" spans="1:12">
      <c r="A481" s="3" t="s">
        <v>1020</v>
      </c>
      <c r="B481" s="4" t="s">
        <v>1021</v>
      </c>
      <c r="C481" s="4" t="s">
        <v>534</v>
      </c>
      <c r="D481" s="4" t="s">
        <v>456</v>
      </c>
      <c r="E481" s="4" t="s">
        <v>457</v>
      </c>
      <c r="F481" s="4" t="s">
        <v>26</v>
      </c>
      <c r="G481" s="4" t="s">
        <v>408</v>
      </c>
      <c r="H481" s="5">
        <f>ROUND(29000,0)</f>
        <v>29000</v>
      </c>
      <c r="I481" s="6">
        <f>ROUND(69.2,2)</f>
        <v>69.2</v>
      </c>
      <c r="J481" s="6">
        <f>ROUND(1.15901246,2)</f>
        <v>1.1599999999999999</v>
      </c>
      <c r="K481" s="5">
        <f>ROUND(2325906.2,0)</f>
        <v>2325906</v>
      </c>
      <c r="L481" s="7">
        <f>ROUND(0.000808351662616847,4)</f>
        <v>8.0000000000000004E-4</v>
      </c>
    </row>
    <row r="482" spans="1:12">
      <c r="A482" s="3" t="s">
        <v>1022</v>
      </c>
      <c r="B482" s="4" t="s">
        <v>1023</v>
      </c>
      <c r="C482" s="4" t="s">
        <v>534</v>
      </c>
      <c r="D482" s="4" t="s">
        <v>1024</v>
      </c>
      <c r="E482" s="4" t="s">
        <v>1025</v>
      </c>
      <c r="F482" s="4" t="s">
        <v>1026</v>
      </c>
      <c r="G482" s="4" t="s">
        <v>408</v>
      </c>
      <c r="H482" s="5">
        <f>ROUND(18128,0)</f>
        <v>18128</v>
      </c>
      <c r="I482" s="6">
        <f>ROUND(138.25,2)</f>
        <v>138.25</v>
      </c>
      <c r="J482" s="6">
        <f>ROUND(0.92410673,2)</f>
        <v>0.92</v>
      </c>
      <c r="K482" s="5">
        <f>ROUND(2315992.59,0)</f>
        <v>2315993</v>
      </c>
      <c r="L482" s="7">
        <f>ROUND(0.000804906260078243,4)</f>
        <v>8.0000000000000004E-4</v>
      </c>
    </row>
    <row r="483" spans="1:12">
      <c r="A483" s="3" t="s">
        <v>1027</v>
      </c>
      <c r="B483" s="4" t="s">
        <v>1028</v>
      </c>
      <c r="C483" s="4" t="s">
        <v>400</v>
      </c>
      <c r="D483" s="4" t="s">
        <v>407</v>
      </c>
      <c r="E483" s="4" t="s">
        <v>35</v>
      </c>
      <c r="F483" s="4" t="s">
        <v>21</v>
      </c>
      <c r="G483" s="4" t="s">
        <v>408</v>
      </c>
      <c r="H483" s="5">
        <f>ROUND(4700,0)</f>
        <v>4700</v>
      </c>
      <c r="I483" s="6">
        <f>ROUND(53.37,2)</f>
        <v>53.37</v>
      </c>
      <c r="J483" s="6">
        <f>ROUND(9.08595,2)</f>
        <v>9.09</v>
      </c>
      <c r="K483" s="5">
        <f>ROUND(2279110.61,0)</f>
        <v>2279111</v>
      </c>
      <c r="L483" s="7">
        <f>ROUND(0.00079208819808864,4)</f>
        <v>8.0000000000000004E-4</v>
      </c>
    </row>
    <row r="484" spans="1:12">
      <c r="A484" s="3" t="s">
        <v>1029</v>
      </c>
      <c r="B484" s="4" t="s">
        <v>1030</v>
      </c>
      <c r="C484" s="4" t="s">
        <v>566</v>
      </c>
      <c r="D484" s="4" t="s">
        <v>407</v>
      </c>
      <c r="E484" s="4" t="s">
        <v>35</v>
      </c>
      <c r="F484" s="4" t="s">
        <v>21</v>
      </c>
      <c r="G484" s="4" t="s">
        <v>408</v>
      </c>
      <c r="H484" s="5">
        <f>ROUND(2900,0)</f>
        <v>2900</v>
      </c>
      <c r="I484" s="6">
        <f>ROUND(86.26,2)</f>
        <v>86.26</v>
      </c>
      <c r="J484" s="6">
        <f>ROUND(9.08595,2)</f>
        <v>9.09</v>
      </c>
      <c r="K484" s="5">
        <f>ROUND(2272886.74,0)</f>
        <v>2272887</v>
      </c>
      <c r="L484" s="7">
        <f>ROUND(0.000789925137659801,4)</f>
        <v>8.0000000000000004E-4</v>
      </c>
    </row>
    <row r="485" spans="1:12">
      <c r="A485" s="3" t="s">
        <v>1031</v>
      </c>
      <c r="B485" s="4" t="s">
        <v>1032</v>
      </c>
      <c r="C485" s="4" t="s">
        <v>406</v>
      </c>
      <c r="D485" s="4" t="s">
        <v>514</v>
      </c>
      <c r="E485" s="4" t="s">
        <v>515</v>
      </c>
      <c r="F485" s="4" t="s">
        <v>190</v>
      </c>
      <c r="G485" s="4" t="s">
        <v>408</v>
      </c>
      <c r="H485" s="5">
        <f>ROUND(803,0)</f>
        <v>803</v>
      </c>
      <c r="I485" s="6">
        <f>ROUND(412.3,2)</f>
        <v>412.3</v>
      </c>
      <c r="J485" s="6">
        <f>ROUND(6.86237833,2)</f>
        <v>6.86</v>
      </c>
      <c r="K485" s="5">
        <f>ROUND(2271974.94,0)</f>
        <v>2271975</v>
      </c>
      <c r="L485" s="7">
        <f>ROUND(0.000789608248248709,4)</f>
        <v>8.0000000000000004E-4</v>
      </c>
    </row>
    <row r="486" spans="1:12">
      <c r="A486" s="3" t="s">
        <v>1033</v>
      </c>
      <c r="B486" s="4" t="s">
        <v>1034</v>
      </c>
      <c r="C486" s="4" t="s">
        <v>400</v>
      </c>
      <c r="D486" s="4" t="s">
        <v>771</v>
      </c>
      <c r="E486" s="4" t="s">
        <v>772</v>
      </c>
      <c r="F486" s="4" t="s">
        <v>18</v>
      </c>
      <c r="G486" s="4" t="s">
        <v>408</v>
      </c>
      <c r="H486" s="5">
        <f>ROUND(104675,0)</f>
        <v>104675</v>
      </c>
      <c r="I486" s="6">
        <f>ROUND(2.1755,2)</f>
        <v>2.1800000000000002</v>
      </c>
      <c r="J486" s="6">
        <f>ROUND(9.9055,2)</f>
        <v>9.91</v>
      </c>
      <c r="K486" s="5">
        <f>ROUND(2255685.02,0)</f>
        <v>2255685</v>
      </c>
      <c r="L486" s="7">
        <f>ROUND(0.000783946805875884,4)</f>
        <v>8.0000000000000004E-4</v>
      </c>
    </row>
    <row r="487" spans="1:12">
      <c r="A487" s="3" t="s">
        <v>1035</v>
      </c>
      <c r="B487" s="4" t="s">
        <v>1036</v>
      </c>
      <c r="C487" s="4" t="s">
        <v>422</v>
      </c>
      <c r="D487" s="4" t="s">
        <v>520</v>
      </c>
      <c r="E487" s="4" t="s">
        <v>521</v>
      </c>
      <c r="F487" s="4" t="s">
        <v>18</v>
      </c>
      <c r="G487" s="4" t="s">
        <v>408</v>
      </c>
      <c r="H487" s="5">
        <f>ROUND(1388,0)</f>
        <v>1388</v>
      </c>
      <c r="I487" s="6">
        <f>ROUND(163.4,2)</f>
        <v>163.4</v>
      </c>
      <c r="J487" s="6">
        <f>ROUND(9.9055,2)</f>
        <v>9.91</v>
      </c>
      <c r="K487" s="5">
        <f>ROUND(2246559.48,0)</f>
        <v>2246559</v>
      </c>
      <c r="L487" s="7">
        <f>ROUND(0.000780775291293191,4)</f>
        <v>8.0000000000000004E-4</v>
      </c>
    </row>
    <row r="488" spans="1:12">
      <c r="A488" s="3" t="s">
        <v>1037</v>
      </c>
      <c r="B488" s="4" t="s">
        <v>1038</v>
      </c>
      <c r="C488" s="4" t="s">
        <v>406</v>
      </c>
      <c r="D488" s="4" t="s">
        <v>1024</v>
      </c>
      <c r="E488" s="4" t="s">
        <v>1025</v>
      </c>
      <c r="F488" s="4" t="s">
        <v>1026</v>
      </c>
      <c r="G488" s="4" t="s">
        <v>408</v>
      </c>
      <c r="H488" s="5">
        <f>ROUND(30630,0)</f>
        <v>30630</v>
      </c>
      <c r="I488" s="6">
        <f>ROUND(78.66,2)</f>
        <v>78.66</v>
      </c>
      <c r="J488" s="6">
        <f>ROUND(0.92410673,2)</f>
        <v>0.92</v>
      </c>
      <c r="K488" s="5">
        <f>ROUND(2226501.91,0)</f>
        <v>2226502</v>
      </c>
      <c r="L488" s="7">
        <f>ROUND(0.00077380442976079,4)</f>
        <v>8.0000000000000004E-4</v>
      </c>
    </row>
    <row r="489" spans="1:12">
      <c r="A489" s="3" t="s">
        <v>1039</v>
      </c>
      <c r="B489" s="4" t="s">
        <v>1040</v>
      </c>
      <c r="C489" s="4" t="s">
        <v>406</v>
      </c>
      <c r="D489" s="4" t="s">
        <v>407</v>
      </c>
      <c r="E489" s="4" t="s">
        <v>35</v>
      </c>
      <c r="F489" s="4" t="s">
        <v>21</v>
      </c>
      <c r="G489" s="4" t="s">
        <v>408</v>
      </c>
      <c r="H489" s="5">
        <f>ROUND(2184,0)</f>
        <v>2184</v>
      </c>
      <c r="I489" s="6">
        <f>ROUND(111.73,2)</f>
        <v>111.73</v>
      </c>
      <c r="J489" s="6">
        <f>ROUND(9.08595,2)</f>
        <v>9.09</v>
      </c>
      <c r="K489" s="5">
        <f>ROUND(2217138.25,0)</f>
        <v>2217138</v>
      </c>
      <c r="L489" s="7">
        <f>ROUND(0.000770550158316318,4)</f>
        <v>8.0000000000000004E-4</v>
      </c>
    </row>
    <row r="490" spans="1:12">
      <c r="A490" s="3" t="s">
        <v>1041</v>
      </c>
      <c r="B490" s="4" t="s">
        <v>1042</v>
      </c>
      <c r="C490" s="4" t="s">
        <v>389</v>
      </c>
      <c r="D490" s="4" t="s">
        <v>520</v>
      </c>
      <c r="E490" s="4" t="s">
        <v>521</v>
      </c>
      <c r="F490" s="4" t="s">
        <v>18</v>
      </c>
      <c r="G490" s="4" t="s">
        <v>408</v>
      </c>
      <c r="H490" s="5">
        <f>ROUND(478,0)</f>
        <v>478</v>
      </c>
      <c r="I490" s="6">
        <f>ROUND(467.55,2)</f>
        <v>467.55</v>
      </c>
      <c r="J490" s="6">
        <f>ROUND(9.9055,2)</f>
        <v>9.91</v>
      </c>
      <c r="K490" s="5">
        <f>ROUND(2213769.3,0)</f>
        <v>2213769</v>
      </c>
      <c r="L490" s="7">
        <f>ROUND(0.000769379304421276,4)</f>
        <v>8.0000000000000004E-4</v>
      </c>
    </row>
    <row r="491" spans="1:12">
      <c r="A491" s="3" t="s">
        <v>1043</v>
      </c>
      <c r="B491" s="4" t="s">
        <v>1044</v>
      </c>
      <c r="C491" s="4" t="s">
        <v>430</v>
      </c>
      <c r="D491" s="4" t="s">
        <v>407</v>
      </c>
      <c r="E491" s="4" t="s">
        <v>35</v>
      </c>
      <c r="F491" s="4" t="s">
        <v>21</v>
      </c>
      <c r="G491" s="4" t="s">
        <v>408</v>
      </c>
      <c r="H491" s="5">
        <f>ROUND(10101,0)</f>
        <v>10101</v>
      </c>
      <c r="I491" s="6">
        <f>ROUND(24.06,2)</f>
        <v>24.06</v>
      </c>
      <c r="J491" s="6">
        <f>ROUND(9.08595,2)</f>
        <v>9.09</v>
      </c>
      <c r="K491" s="5">
        <f>ROUND(2208158.97,0)</f>
        <v>2208159</v>
      </c>
      <c r="L491" s="7">
        <f>ROUND(0.000767429475325275,4)</f>
        <v>8.0000000000000004E-4</v>
      </c>
    </row>
    <row r="492" spans="1:12">
      <c r="A492" s="3" t="s">
        <v>1045</v>
      </c>
      <c r="B492" s="4" t="s">
        <v>1046</v>
      </c>
      <c r="C492" s="4" t="s">
        <v>389</v>
      </c>
      <c r="D492" s="4" t="s">
        <v>520</v>
      </c>
      <c r="E492" s="4" t="s">
        <v>521</v>
      </c>
      <c r="F492" s="4" t="s">
        <v>18</v>
      </c>
      <c r="G492" s="4" t="s">
        <v>408</v>
      </c>
      <c r="H492" s="5">
        <f>ROUND(1685,0)</f>
        <v>1685</v>
      </c>
      <c r="I492" s="6">
        <f>ROUND(132.25,2)</f>
        <v>132.25</v>
      </c>
      <c r="J492" s="6">
        <f>ROUND(9.9055,2)</f>
        <v>9.91</v>
      </c>
      <c r="K492" s="5">
        <f>ROUND(2207354,0)</f>
        <v>2207354</v>
      </c>
      <c r="L492" s="7">
        <f>ROUND(0.000767149713898156,4)</f>
        <v>8.0000000000000004E-4</v>
      </c>
    </row>
    <row r="493" spans="1:12">
      <c r="A493" s="3" t="s">
        <v>1047</v>
      </c>
      <c r="B493" s="4" t="s">
        <v>1048</v>
      </c>
      <c r="C493" s="4" t="s">
        <v>493</v>
      </c>
      <c r="D493" s="4" t="s">
        <v>486</v>
      </c>
      <c r="E493" s="4" t="s">
        <v>30</v>
      </c>
      <c r="F493" s="4" t="s">
        <v>20</v>
      </c>
      <c r="G493" s="4" t="s">
        <v>408</v>
      </c>
      <c r="H493" s="5">
        <f>ROUND(15826,0)</f>
        <v>15826</v>
      </c>
      <c r="I493" s="6">
        <f>ROUND(1245.5,2)</f>
        <v>1245.5</v>
      </c>
      <c r="J493" s="6">
        <f>ROUND(11.19645077,2)</f>
        <v>11.2</v>
      </c>
      <c r="K493" s="5">
        <f>ROUND(2206964.1,0)</f>
        <v>2206964</v>
      </c>
      <c r="L493" s="7">
        <f>ROUND(0.000767014207009162,4)</f>
        <v>8.0000000000000004E-4</v>
      </c>
    </row>
    <row r="494" spans="1:12">
      <c r="A494" s="3" t="s">
        <v>1049</v>
      </c>
      <c r="B494" s="4" t="s">
        <v>1050</v>
      </c>
      <c r="C494" s="4" t="s">
        <v>389</v>
      </c>
      <c r="D494" s="4" t="s">
        <v>520</v>
      </c>
      <c r="E494" s="4" t="s">
        <v>521</v>
      </c>
      <c r="F494" s="4" t="s">
        <v>18</v>
      </c>
      <c r="G494" s="4" t="s">
        <v>408</v>
      </c>
      <c r="H494" s="5">
        <f>ROUND(9736,0)</f>
        <v>9736</v>
      </c>
      <c r="I494" s="6">
        <f>ROUND(22.88,2)</f>
        <v>22.88</v>
      </c>
      <c r="J494" s="6">
        <f>ROUND(9.9055,2)</f>
        <v>9.91</v>
      </c>
      <c r="K494" s="5">
        <f>ROUND(2206546.01,0)</f>
        <v>2206546</v>
      </c>
      <c r="L494" s="7">
        <f>ROUND(0.000766868902892159,4)</f>
        <v>8.0000000000000004E-4</v>
      </c>
    </row>
    <row r="495" spans="1:12">
      <c r="A495" s="3" t="s">
        <v>1051</v>
      </c>
      <c r="B495" s="4" t="s">
        <v>1052</v>
      </c>
      <c r="C495" s="4" t="s">
        <v>400</v>
      </c>
      <c r="D495" s="4" t="s">
        <v>423</v>
      </c>
      <c r="E495" s="4" t="s">
        <v>25</v>
      </c>
      <c r="F495" s="4" t="s">
        <v>16</v>
      </c>
      <c r="G495" s="4" t="s">
        <v>408</v>
      </c>
      <c r="H495" s="5">
        <f>ROUND(19681,0)</f>
        <v>19681</v>
      </c>
      <c r="I495" s="6">
        <f>ROUND(12.235,2)</f>
        <v>12.24</v>
      </c>
      <c r="J495" s="6">
        <f>ROUND(9.11185723,2)</f>
        <v>9.11</v>
      </c>
      <c r="K495" s="5">
        <f>ROUND(2194108.25,0)</f>
        <v>2194108</v>
      </c>
      <c r="L495" s="7">
        <f>ROUND(0.000762546250510378,4)</f>
        <v>8.0000000000000004E-4</v>
      </c>
    </row>
    <row r="496" spans="1:12">
      <c r="A496" s="3" t="s">
        <v>1053</v>
      </c>
      <c r="B496" s="4" t="s">
        <v>1054</v>
      </c>
      <c r="C496" s="4" t="s">
        <v>406</v>
      </c>
      <c r="D496" s="4" t="s">
        <v>407</v>
      </c>
      <c r="E496" s="4" t="s">
        <v>35</v>
      </c>
      <c r="F496" s="4" t="s">
        <v>21</v>
      </c>
      <c r="G496" s="4" t="s">
        <v>408</v>
      </c>
      <c r="H496" s="5">
        <f>ROUND(2906,0)</f>
        <v>2906</v>
      </c>
      <c r="I496" s="6">
        <f>ROUND(82.77,2)</f>
        <v>82.77</v>
      </c>
      <c r="J496" s="6">
        <f>ROUND(9.08595,2)</f>
        <v>9.09</v>
      </c>
      <c r="K496" s="5">
        <f>ROUND(2185440.1,0)</f>
        <v>2185440</v>
      </c>
      <c r="L496" s="7">
        <f>ROUND(0.000759533698471816,4)</f>
        <v>8.0000000000000004E-4</v>
      </c>
    </row>
    <row r="497" spans="1:12">
      <c r="A497" s="3" t="s">
        <v>1055</v>
      </c>
      <c r="B497" s="4" t="s">
        <v>1056</v>
      </c>
      <c r="C497" s="4" t="s">
        <v>534</v>
      </c>
      <c r="D497" s="4" t="s">
        <v>407</v>
      </c>
      <c r="E497" s="4" t="s">
        <v>35</v>
      </c>
      <c r="F497" s="4" t="s">
        <v>21</v>
      </c>
      <c r="G497" s="4" t="s">
        <v>408</v>
      </c>
      <c r="H497" s="5">
        <f>ROUND(1517,0)</f>
        <v>1517</v>
      </c>
      <c r="I497" s="6">
        <f>ROUND(158.14,2)</f>
        <v>158.13999999999999</v>
      </c>
      <c r="J497" s="6">
        <f>ROUND(9.08595,2)</f>
        <v>9.09</v>
      </c>
      <c r="K497" s="5">
        <f>ROUND(2179704.69,0)</f>
        <v>2179705</v>
      </c>
      <c r="L497" s="7">
        <f>ROUND(0.000757540398738023,4)</f>
        <v>8.0000000000000004E-4</v>
      </c>
    </row>
    <row r="498" spans="1:12">
      <c r="A498" s="3" t="s">
        <v>1057</v>
      </c>
      <c r="B498" s="4" t="s">
        <v>1058</v>
      </c>
      <c r="C498" s="4" t="s">
        <v>430</v>
      </c>
      <c r="D498" s="4" t="s">
        <v>1059</v>
      </c>
      <c r="E498" s="4" t="s">
        <v>1060</v>
      </c>
      <c r="F498" s="4" t="s">
        <v>279</v>
      </c>
      <c r="G498" s="4" t="s">
        <v>408</v>
      </c>
      <c r="H498" s="5">
        <f>ROUND(12568,0)</f>
        <v>12568</v>
      </c>
      <c r="I498" s="6">
        <f>ROUND(173.05,2)</f>
        <v>173.05</v>
      </c>
      <c r="J498" s="6">
        <f>ROUND(1,2)</f>
        <v>1</v>
      </c>
      <c r="K498" s="5">
        <f>ROUND(2174892.4,0)</f>
        <v>2174892</v>
      </c>
      <c r="L498" s="7">
        <f>ROUND(0.000755867922598403,4)</f>
        <v>8.0000000000000004E-4</v>
      </c>
    </row>
    <row r="499" spans="1:12">
      <c r="A499" s="3" t="s">
        <v>1061</v>
      </c>
      <c r="B499" s="4" t="s">
        <v>1062</v>
      </c>
      <c r="C499" s="4" t="s">
        <v>400</v>
      </c>
      <c r="D499" s="4" t="s">
        <v>395</v>
      </c>
      <c r="E499" s="4" t="s">
        <v>396</v>
      </c>
      <c r="F499" s="4" t="s">
        <v>397</v>
      </c>
      <c r="G499" s="4" t="s">
        <v>408</v>
      </c>
      <c r="H499" s="5">
        <f>ROUND(29373,0)</f>
        <v>29373</v>
      </c>
      <c r="I499" s="6">
        <f>ROUND(33.92,2)</f>
        <v>33.92</v>
      </c>
      <c r="J499" s="6">
        <f>ROUND(2.18129969,2)</f>
        <v>2.1800000000000002</v>
      </c>
      <c r="K499" s="5">
        <f>ROUND(2173299.03,0)</f>
        <v>2173299</v>
      </c>
      <c r="L499" s="7">
        <f>ROUND(0.00075531415852629,4)</f>
        <v>8.0000000000000004E-4</v>
      </c>
    </row>
    <row r="500" spans="1:12">
      <c r="A500" s="3" t="s">
        <v>1063</v>
      </c>
      <c r="B500" s="4" t="s">
        <v>1064</v>
      </c>
      <c r="C500" s="4" t="s">
        <v>389</v>
      </c>
      <c r="D500" s="4" t="s">
        <v>407</v>
      </c>
      <c r="E500" s="4" t="s">
        <v>35</v>
      </c>
      <c r="F500" s="4" t="s">
        <v>21</v>
      </c>
      <c r="G500" s="4" t="s">
        <v>408</v>
      </c>
      <c r="H500" s="5">
        <f>ROUND(1500,0)</f>
        <v>1500</v>
      </c>
      <c r="I500" s="6">
        <f>ROUND(158.94,2)</f>
        <v>158.94</v>
      </c>
      <c r="J500" s="6">
        <f>ROUND(9.08595,2)</f>
        <v>9.09</v>
      </c>
      <c r="K500" s="5">
        <f>ROUND(2166181.34,0)</f>
        <v>2166181</v>
      </c>
      <c r="L500" s="7">
        <f>ROUND(0.000752840457503656,4)</f>
        <v>8.0000000000000004E-4</v>
      </c>
    </row>
    <row r="501" spans="1:12">
      <c r="A501" s="3" t="s">
        <v>1065</v>
      </c>
      <c r="B501" s="4" t="s">
        <v>1066</v>
      </c>
      <c r="C501" s="4" t="s">
        <v>422</v>
      </c>
      <c r="D501" s="4" t="s">
        <v>407</v>
      </c>
      <c r="E501" s="4" t="s">
        <v>35</v>
      </c>
      <c r="F501" s="4" t="s">
        <v>21</v>
      </c>
      <c r="G501" s="4" t="s">
        <v>408</v>
      </c>
      <c r="H501" s="5">
        <f>ROUND(4322,0)</f>
        <v>4322</v>
      </c>
      <c r="I501" s="6">
        <f>ROUND(55.12,2)</f>
        <v>55.12</v>
      </c>
      <c r="J501" s="6">
        <f>ROUND(9.08595,2)</f>
        <v>9.09</v>
      </c>
      <c r="K501" s="5">
        <f>ROUND(2164533.51,0)</f>
        <v>2164534</v>
      </c>
      <c r="L501" s="7">
        <f>ROUND(0.000752267766257461,4)</f>
        <v>8.0000000000000004E-4</v>
      </c>
    </row>
    <row r="502" spans="1:12">
      <c r="A502" s="3" t="s">
        <v>1067</v>
      </c>
      <c r="B502" s="4" t="s">
        <v>1068</v>
      </c>
      <c r="C502" s="4" t="s">
        <v>389</v>
      </c>
      <c r="D502" s="4" t="s">
        <v>407</v>
      </c>
      <c r="E502" s="4" t="s">
        <v>35</v>
      </c>
      <c r="F502" s="4" t="s">
        <v>21</v>
      </c>
      <c r="G502" s="4" t="s">
        <v>408</v>
      </c>
      <c r="H502" s="5">
        <f>ROUND(2100,0)</f>
        <v>2100</v>
      </c>
      <c r="I502" s="6">
        <f>ROUND(113.43,2)</f>
        <v>113.43</v>
      </c>
      <c r="J502" s="6">
        <f>ROUND(9.08595,2)</f>
        <v>9.09</v>
      </c>
      <c r="K502" s="5">
        <f>ROUND(2164300.55,0)</f>
        <v>2164301</v>
      </c>
      <c r="L502" s="7">
        <f>ROUND(0.000752186802715886,4)</f>
        <v>8.0000000000000004E-4</v>
      </c>
    </row>
    <row r="503" spans="1:12">
      <c r="A503" s="3" t="s">
        <v>1069</v>
      </c>
      <c r="B503" s="4" t="s">
        <v>1070</v>
      </c>
      <c r="C503" s="4" t="s">
        <v>389</v>
      </c>
      <c r="D503" s="4" t="s">
        <v>489</v>
      </c>
      <c r="E503" s="4" t="s">
        <v>490</v>
      </c>
      <c r="F503" s="4" t="s">
        <v>45</v>
      </c>
      <c r="G503" s="4" t="s">
        <v>408</v>
      </c>
      <c r="H503" s="5">
        <f>ROUND(400,0)</f>
        <v>400</v>
      </c>
      <c r="I503" s="6">
        <f>ROUND(64210,2)</f>
        <v>64210</v>
      </c>
      <c r="J503" s="6">
        <f>ROUND(8.407077,2)</f>
        <v>8.41</v>
      </c>
      <c r="K503" s="5">
        <f>ROUND(2159273.66,0)</f>
        <v>2159274</v>
      </c>
      <c r="L503" s="7">
        <f>ROUND(0.000750439743918205,4)</f>
        <v>8.0000000000000004E-4</v>
      </c>
    </row>
    <row r="504" spans="1:12">
      <c r="A504" s="3" t="s">
        <v>1071</v>
      </c>
      <c r="B504" s="4" t="s">
        <v>1072</v>
      </c>
      <c r="C504" s="4" t="s">
        <v>400</v>
      </c>
      <c r="D504" s="4" t="s">
        <v>552</v>
      </c>
      <c r="E504" s="4" t="s">
        <v>553</v>
      </c>
      <c r="F504" s="4" t="s">
        <v>26</v>
      </c>
      <c r="G504" s="4" t="s">
        <v>408</v>
      </c>
      <c r="H504" s="5">
        <f>ROUND(8100,0)</f>
        <v>8100</v>
      </c>
      <c r="I504" s="6">
        <f>ROUND(230,2)</f>
        <v>230</v>
      </c>
      <c r="J504" s="6">
        <f>ROUND(1.15901246,2)</f>
        <v>1.1599999999999999</v>
      </c>
      <c r="K504" s="5">
        <f>ROUND(2159240.21,0)</f>
        <v>2159240</v>
      </c>
      <c r="L504" s="7">
        <f>ROUND(0.000750428118615725,4)</f>
        <v>8.0000000000000004E-4</v>
      </c>
    </row>
    <row r="505" spans="1:12">
      <c r="A505" s="3" t="s">
        <v>1073</v>
      </c>
      <c r="B505" s="4" t="s">
        <v>1074</v>
      </c>
      <c r="C505" s="4" t="s">
        <v>389</v>
      </c>
      <c r="D505" s="4" t="s">
        <v>407</v>
      </c>
      <c r="E505" s="4" t="s">
        <v>35</v>
      </c>
      <c r="F505" s="4" t="s">
        <v>21</v>
      </c>
      <c r="G505" s="4" t="s">
        <v>408</v>
      </c>
      <c r="H505" s="5">
        <f>ROUND(6088,0)</f>
        <v>6088</v>
      </c>
      <c r="I505" s="6">
        <f>ROUND(38.98,2)</f>
        <v>38.979999999999997</v>
      </c>
      <c r="J505" s="6">
        <f>ROUND(9.08595,2)</f>
        <v>9.09</v>
      </c>
      <c r="K505" s="5">
        <f>ROUND(2156188.98,0)</f>
        <v>2156189</v>
      </c>
      <c r="L505" s="7">
        <f>ROUND(0.000749367685979393,4)</f>
        <v>6.9999999999999999E-4</v>
      </c>
    </row>
    <row r="506" spans="1:12">
      <c r="A506" s="3" t="s">
        <v>1075</v>
      </c>
      <c r="B506" s="4" t="s">
        <v>1076</v>
      </c>
      <c r="C506" s="4" t="s">
        <v>534</v>
      </c>
      <c r="D506" s="4" t="s">
        <v>541</v>
      </c>
      <c r="E506" s="4" t="s">
        <v>542</v>
      </c>
      <c r="F506" s="4" t="s">
        <v>18</v>
      </c>
      <c r="G506" s="4" t="s">
        <v>408</v>
      </c>
      <c r="H506" s="5">
        <f>ROUND(7083,0)</f>
        <v>7083</v>
      </c>
      <c r="I506" s="6">
        <f>ROUND(30.645,2)</f>
        <v>30.65</v>
      </c>
      <c r="J506" s="6">
        <f>ROUND(9.9055,2)</f>
        <v>9.91</v>
      </c>
      <c r="K506" s="5">
        <f>ROUND(2150073.37,0)</f>
        <v>2150073</v>
      </c>
      <c r="L506" s="7">
        <f>ROUND(0.000747242250520553,4)</f>
        <v>6.9999999999999999E-4</v>
      </c>
    </row>
    <row r="507" spans="1:12">
      <c r="A507" s="3" t="s">
        <v>1077</v>
      </c>
      <c r="B507" s="4" t="s">
        <v>1078</v>
      </c>
      <c r="C507" s="4" t="s">
        <v>445</v>
      </c>
      <c r="D507" s="4" t="s">
        <v>407</v>
      </c>
      <c r="E507" s="4" t="s">
        <v>35</v>
      </c>
      <c r="F507" s="4" t="s">
        <v>21</v>
      </c>
      <c r="G507" s="4" t="s">
        <v>408</v>
      </c>
      <c r="H507" s="5">
        <f>ROUND(1963,0)</f>
        <v>1963</v>
      </c>
      <c r="I507" s="6">
        <f>ROUND(120.42,2)</f>
        <v>120.42</v>
      </c>
      <c r="J507" s="6">
        <f>ROUND(9.08595,2)</f>
        <v>9.09</v>
      </c>
      <c r="K507" s="5">
        <f>ROUND(2147777.38,0)</f>
        <v>2147777</v>
      </c>
      <c r="L507" s="7">
        <f>ROUND(0.000746444296014111,4)</f>
        <v>6.9999999999999999E-4</v>
      </c>
    </row>
    <row r="508" spans="1:12">
      <c r="A508" s="3" t="s">
        <v>1079</v>
      </c>
      <c r="B508" s="4" t="s">
        <v>1080</v>
      </c>
      <c r="C508" s="4" t="s">
        <v>534</v>
      </c>
      <c r="D508" s="4" t="s">
        <v>407</v>
      </c>
      <c r="E508" s="4" t="s">
        <v>35</v>
      </c>
      <c r="F508" s="4" t="s">
        <v>21</v>
      </c>
      <c r="G508" s="4" t="s">
        <v>408</v>
      </c>
      <c r="H508" s="5">
        <f>ROUND(1615,0)</f>
        <v>1615</v>
      </c>
      <c r="I508" s="6">
        <f>ROUND(145.57,2)</f>
        <v>145.57</v>
      </c>
      <c r="J508" s="6">
        <f>ROUND(9.08595,2)</f>
        <v>9.09</v>
      </c>
      <c r="K508" s="5">
        <f>ROUND(2136066.41,0)</f>
        <v>2136066</v>
      </c>
      <c r="L508" s="7">
        <f>ROUND(0.000742374234173115,4)</f>
        <v>6.9999999999999999E-4</v>
      </c>
    </row>
    <row r="509" spans="1:12">
      <c r="A509" s="3" t="s">
        <v>1081</v>
      </c>
      <c r="B509" s="4" t="s">
        <v>1082</v>
      </c>
      <c r="C509" s="4" t="s">
        <v>422</v>
      </c>
      <c r="D509" s="4" t="s">
        <v>486</v>
      </c>
      <c r="E509" s="4" t="s">
        <v>30</v>
      </c>
      <c r="F509" s="4" t="s">
        <v>20</v>
      </c>
      <c r="G509" s="4" t="s">
        <v>408</v>
      </c>
      <c r="H509" s="5">
        <f>ROUND(78489,0)</f>
        <v>78489</v>
      </c>
      <c r="I509" s="6">
        <f>ROUND(241,2)</f>
        <v>241</v>
      </c>
      <c r="J509" s="6">
        <f>ROUND(11.19645077,2)</f>
        <v>11.2</v>
      </c>
      <c r="K509" s="5">
        <f>ROUND(2117903.72,0)</f>
        <v>2117904</v>
      </c>
      <c r="L509" s="7">
        <f>ROUND(0.000736061924304774,4)</f>
        <v>6.9999999999999999E-4</v>
      </c>
    </row>
    <row r="510" spans="1:12">
      <c r="A510" s="3" t="s">
        <v>1083</v>
      </c>
      <c r="B510" s="4" t="s">
        <v>1084</v>
      </c>
      <c r="C510" s="4" t="s">
        <v>415</v>
      </c>
      <c r="D510" s="4" t="s">
        <v>489</v>
      </c>
      <c r="E510" s="4" t="s">
        <v>490</v>
      </c>
      <c r="F510" s="4" t="s">
        <v>45</v>
      </c>
      <c r="G510" s="4" t="s">
        <v>408</v>
      </c>
      <c r="H510" s="5">
        <f>ROUND(16900,0)</f>
        <v>16900</v>
      </c>
      <c r="I510" s="6">
        <f>ROUND(1464,2)</f>
        <v>1464</v>
      </c>
      <c r="J510" s="6">
        <f>ROUND(8.407077,2)</f>
        <v>8.41</v>
      </c>
      <c r="K510" s="5">
        <f>ROUND(2080045.36,0)</f>
        <v>2080045</v>
      </c>
      <c r="L510" s="7">
        <f>ROUND(0.000722904528598126,4)</f>
        <v>6.9999999999999999E-4</v>
      </c>
    </row>
    <row r="511" spans="1:12">
      <c r="A511" s="3" t="s">
        <v>1085</v>
      </c>
      <c r="B511" s="4" t="s">
        <v>1086</v>
      </c>
      <c r="C511" s="4" t="s">
        <v>445</v>
      </c>
      <c r="D511" s="4" t="s">
        <v>407</v>
      </c>
      <c r="E511" s="4" t="s">
        <v>35</v>
      </c>
      <c r="F511" s="4" t="s">
        <v>21</v>
      </c>
      <c r="G511" s="4" t="s">
        <v>408</v>
      </c>
      <c r="H511" s="5">
        <f>ROUND(895,0)</f>
        <v>895</v>
      </c>
      <c r="I511" s="6">
        <f>ROUND(255.67,2)</f>
        <v>255.67</v>
      </c>
      <c r="J511" s="6">
        <f>ROUND(9.08595,2)</f>
        <v>9.09</v>
      </c>
      <c r="K511" s="5">
        <f>ROUND(2079089.33,0)</f>
        <v>2079089</v>
      </c>
      <c r="L511" s="7">
        <f>ROUND(0.000722572267374517,4)</f>
        <v>6.9999999999999999E-4</v>
      </c>
    </row>
    <row r="512" spans="1:12">
      <c r="A512" s="3" t="s">
        <v>1087</v>
      </c>
      <c r="B512" s="4" t="s">
        <v>1088</v>
      </c>
      <c r="C512" s="4" t="s">
        <v>400</v>
      </c>
      <c r="D512" s="4" t="s">
        <v>407</v>
      </c>
      <c r="E512" s="4" t="s">
        <v>35</v>
      </c>
      <c r="F512" s="4" t="s">
        <v>21</v>
      </c>
      <c r="G512" s="4" t="s">
        <v>408</v>
      </c>
      <c r="H512" s="5">
        <f>ROUND(1116,0)</f>
        <v>1116</v>
      </c>
      <c r="I512" s="6">
        <f>ROUND(204.83,2)</f>
        <v>204.83</v>
      </c>
      <c r="J512" s="6">
        <f>ROUND(9.08595,2)</f>
        <v>9.09</v>
      </c>
      <c r="K512" s="5">
        <f>ROUND(2076959.85,0)</f>
        <v>2076960</v>
      </c>
      <c r="L512" s="7">
        <f>ROUND(0.000721832182198894,4)</f>
        <v>6.9999999999999999E-4</v>
      </c>
    </row>
    <row r="513" spans="1:12">
      <c r="A513" s="3" t="s">
        <v>1089</v>
      </c>
      <c r="B513" s="4" t="s">
        <v>1090</v>
      </c>
      <c r="C513" s="4" t="s">
        <v>566</v>
      </c>
      <c r="D513" s="4" t="s">
        <v>407</v>
      </c>
      <c r="E513" s="4" t="s">
        <v>35</v>
      </c>
      <c r="F513" s="4" t="s">
        <v>21</v>
      </c>
      <c r="G513" s="4" t="s">
        <v>408</v>
      </c>
      <c r="H513" s="5">
        <f>ROUND(2514,0)</f>
        <v>2514</v>
      </c>
      <c r="I513" s="6">
        <f>ROUND(90.65,2)</f>
        <v>90.65</v>
      </c>
      <c r="J513" s="6">
        <f>ROUND(9.08595,2)</f>
        <v>9.09</v>
      </c>
      <c r="K513" s="5">
        <f>ROUND(2070634.4,0)</f>
        <v>2070634</v>
      </c>
      <c r="L513" s="7">
        <f>ROUND(0.000719633818385126,4)</f>
        <v>6.9999999999999999E-4</v>
      </c>
    </row>
    <row r="514" spans="1:12">
      <c r="A514" s="3" t="s">
        <v>1091</v>
      </c>
      <c r="B514" s="4" t="s">
        <v>1092</v>
      </c>
      <c r="C514" s="4" t="s">
        <v>406</v>
      </c>
      <c r="D514" s="4" t="s">
        <v>489</v>
      </c>
      <c r="E514" s="4" t="s">
        <v>490</v>
      </c>
      <c r="F514" s="4" t="s">
        <v>45</v>
      </c>
      <c r="G514" s="4" t="s">
        <v>408</v>
      </c>
      <c r="H514" s="5">
        <f>ROUND(6100,0)</f>
        <v>6100</v>
      </c>
      <c r="I514" s="6">
        <f>ROUND(4023,2)</f>
        <v>4023</v>
      </c>
      <c r="J514" s="6">
        <f>ROUND(8.407077,2)</f>
        <v>8.41</v>
      </c>
      <c r="K514" s="5">
        <f>ROUND(2063121.92,0)</f>
        <v>2063122</v>
      </c>
      <c r="L514" s="7">
        <f>ROUND(0.000717022910989816,4)</f>
        <v>6.9999999999999999E-4</v>
      </c>
    </row>
    <row r="515" spans="1:12">
      <c r="A515" s="3" t="s">
        <v>1093</v>
      </c>
      <c r="B515" s="4" t="s">
        <v>1094</v>
      </c>
      <c r="C515" s="4" t="s">
        <v>493</v>
      </c>
      <c r="D515" s="4" t="s">
        <v>520</v>
      </c>
      <c r="E515" s="4" t="s">
        <v>521</v>
      </c>
      <c r="F515" s="4" t="s">
        <v>18</v>
      </c>
      <c r="G515" s="4" t="s">
        <v>408</v>
      </c>
      <c r="H515" s="5">
        <f>ROUND(13894,0)</f>
        <v>13894</v>
      </c>
      <c r="I515" s="6">
        <f>ROUND(14.98,2)</f>
        <v>14.98</v>
      </c>
      <c r="J515" s="6">
        <f>ROUND(9.9055,2)</f>
        <v>9.91</v>
      </c>
      <c r="K515" s="5">
        <f>ROUND(2061652.71,0)</f>
        <v>2061653</v>
      </c>
      <c r="L515" s="7">
        <f>ROUND(0.000716512297816235,4)</f>
        <v>6.9999999999999999E-4</v>
      </c>
    </row>
    <row r="516" spans="1:12">
      <c r="A516" s="3" t="s">
        <v>1095</v>
      </c>
      <c r="B516" s="4" t="s">
        <v>1096</v>
      </c>
      <c r="C516" s="4" t="s">
        <v>445</v>
      </c>
      <c r="D516" s="4" t="s">
        <v>489</v>
      </c>
      <c r="E516" s="4" t="s">
        <v>490</v>
      </c>
      <c r="F516" s="4" t="s">
        <v>45</v>
      </c>
      <c r="G516" s="4" t="s">
        <v>408</v>
      </c>
      <c r="H516" s="5">
        <f>ROUND(3600,0)</f>
        <v>3600</v>
      </c>
      <c r="I516" s="6">
        <f>ROUND(6804,2)</f>
        <v>6804</v>
      </c>
      <c r="J516" s="6">
        <f>ROUND(8.407077,2)</f>
        <v>8.41</v>
      </c>
      <c r="K516" s="5">
        <f>ROUND(2059263.07,0)</f>
        <v>2059263</v>
      </c>
      <c r="L516" s="7">
        <f>ROUND(0.000715681795938277,4)</f>
        <v>6.9999999999999999E-4</v>
      </c>
    </row>
    <row r="517" spans="1:12">
      <c r="A517" s="3" t="s">
        <v>1097</v>
      </c>
      <c r="B517" s="4" t="s">
        <v>1098</v>
      </c>
      <c r="C517" s="4" t="s">
        <v>389</v>
      </c>
      <c r="D517" s="4" t="s">
        <v>541</v>
      </c>
      <c r="E517" s="4" t="s">
        <v>542</v>
      </c>
      <c r="F517" s="4" t="s">
        <v>18</v>
      </c>
      <c r="G517" s="4" t="s">
        <v>408</v>
      </c>
      <c r="H517" s="5">
        <f>ROUND(3194,0)</f>
        <v>3194</v>
      </c>
      <c r="I517" s="6">
        <f>ROUND(64.59,2)</f>
        <v>64.59</v>
      </c>
      <c r="J517" s="6">
        <f>ROUND(9.9055,2)</f>
        <v>9.91</v>
      </c>
      <c r="K517" s="5">
        <f>ROUND(2043509.21,0)</f>
        <v>2043509</v>
      </c>
      <c r="L517" s="7">
        <f>ROUND(0.000710206657291829,4)</f>
        <v>6.9999999999999999E-4</v>
      </c>
    </row>
    <row r="518" spans="1:12">
      <c r="A518" s="3" t="s">
        <v>1099</v>
      </c>
      <c r="B518" s="4" t="s">
        <v>1100</v>
      </c>
      <c r="C518" s="4" t="s">
        <v>415</v>
      </c>
      <c r="D518" s="4" t="s">
        <v>489</v>
      </c>
      <c r="E518" s="4" t="s">
        <v>490</v>
      </c>
      <c r="F518" s="4" t="s">
        <v>45</v>
      </c>
      <c r="G518" s="4" t="s">
        <v>408</v>
      </c>
      <c r="H518" s="5">
        <f>ROUND(8800,0)</f>
        <v>8800</v>
      </c>
      <c r="I518" s="6">
        <f>ROUND(2753,2)</f>
        <v>2753</v>
      </c>
      <c r="J518" s="6">
        <f>ROUND(8.407077,2)</f>
        <v>8.41</v>
      </c>
      <c r="K518" s="5">
        <f>ROUND(2036732.1,0)</f>
        <v>2036732</v>
      </c>
      <c r="L518" s="7">
        <f>ROUND(0.000707851322353456,4)</f>
        <v>6.9999999999999999E-4</v>
      </c>
    </row>
    <row r="519" spans="1:12">
      <c r="A519" s="3" t="s">
        <v>1101</v>
      </c>
      <c r="B519" s="4" t="s">
        <v>1102</v>
      </c>
      <c r="C519" s="4" t="s">
        <v>400</v>
      </c>
      <c r="D519" s="4" t="s">
        <v>486</v>
      </c>
      <c r="E519" s="4" t="s">
        <v>30</v>
      </c>
      <c r="F519" s="4" t="s">
        <v>20</v>
      </c>
      <c r="G519" s="4" t="s">
        <v>408</v>
      </c>
      <c r="H519" s="5">
        <f>ROUND(2488,0)</f>
        <v>2488</v>
      </c>
      <c r="I519" s="6">
        <f>ROUND(7308,2)</f>
        <v>7308</v>
      </c>
      <c r="J519" s="6">
        <f>ROUND(11.19645077,2)</f>
        <v>11.2</v>
      </c>
      <c r="K519" s="5">
        <f>ROUND(2035772.72,0)</f>
        <v>2035773</v>
      </c>
      <c r="L519" s="7">
        <f>ROUND(0.000707517896861886,4)</f>
        <v>6.9999999999999999E-4</v>
      </c>
    </row>
    <row r="520" spans="1:12">
      <c r="A520" s="3" t="s">
        <v>1103</v>
      </c>
      <c r="B520" s="4" t="s">
        <v>1104</v>
      </c>
      <c r="C520" s="4" t="s">
        <v>422</v>
      </c>
      <c r="D520" s="4" t="s">
        <v>489</v>
      </c>
      <c r="E520" s="4" t="s">
        <v>490</v>
      </c>
      <c r="F520" s="4" t="s">
        <v>45</v>
      </c>
      <c r="G520" s="4" t="s">
        <v>408</v>
      </c>
      <c r="H520" s="5">
        <f>ROUND(3000,0)</f>
        <v>3000</v>
      </c>
      <c r="I520" s="6">
        <f>ROUND(7984,2)</f>
        <v>7984</v>
      </c>
      <c r="J520" s="6">
        <f>ROUND(8.407077,2)</f>
        <v>8.41</v>
      </c>
      <c r="K520" s="5">
        <f>ROUND(2013663.08,0)</f>
        <v>2013663</v>
      </c>
      <c r="L520" s="7">
        <f>ROUND(0.000699833853432336,4)</f>
        <v>6.9999999999999999E-4</v>
      </c>
    </row>
    <row r="521" spans="1:12">
      <c r="A521" s="3" t="s">
        <v>1105</v>
      </c>
      <c r="B521" s="4" t="s">
        <v>1106</v>
      </c>
      <c r="C521" s="4" t="s">
        <v>493</v>
      </c>
      <c r="D521" s="4" t="s">
        <v>771</v>
      </c>
      <c r="E521" s="4" t="s">
        <v>772</v>
      </c>
      <c r="F521" s="4" t="s">
        <v>18</v>
      </c>
      <c r="G521" s="4" t="s">
        <v>408</v>
      </c>
      <c r="H521" s="5">
        <f>ROUND(34425,0)</f>
        <v>34425</v>
      </c>
      <c r="I521" s="6">
        <f>ROUND(5.894,2)</f>
        <v>5.89</v>
      </c>
      <c r="J521" s="6">
        <f>ROUND(9.9055,2)</f>
        <v>9.91</v>
      </c>
      <c r="K521" s="5">
        <f>ROUND(2009835.36,0)</f>
        <v>2009835</v>
      </c>
      <c r="L521" s="7">
        <f>ROUND(0.00069850355738427,4)</f>
        <v>6.9999999999999999E-4</v>
      </c>
    </row>
    <row r="522" spans="1:12">
      <c r="A522" s="3" t="s">
        <v>1107</v>
      </c>
      <c r="B522" s="4" t="s">
        <v>1108</v>
      </c>
      <c r="C522" s="4" t="s">
        <v>400</v>
      </c>
      <c r="D522" s="4" t="s">
        <v>1059</v>
      </c>
      <c r="E522" s="4" t="s">
        <v>1060</v>
      </c>
      <c r="F522" s="4" t="s">
        <v>279</v>
      </c>
      <c r="G522" s="4" t="s">
        <v>408</v>
      </c>
      <c r="H522" s="5">
        <f>ROUND(12506,0)</f>
        <v>12506</v>
      </c>
      <c r="I522" s="6">
        <f>ROUND(160.25,2)</f>
        <v>160.25</v>
      </c>
      <c r="J522" s="6">
        <f>ROUND(1,2)</f>
        <v>1</v>
      </c>
      <c r="K522" s="5">
        <f>ROUND(2004086.5,0)</f>
        <v>2004087</v>
      </c>
      <c r="L522" s="7">
        <f>ROUND(0.000696505583201497,4)</f>
        <v>6.9999999999999999E-4</v>
      </c>
    </row>
    <row r="523" spans="1:12">
      <c r="A523" s="3" t="s">
        <v>1109</v>
      </c>
      <c r="B523" s="4" t="s">
        <v>1110</v>
      </c>
      <c r="C523" s="4" t="s">
        <v>406</v>
      </c>
      <c r="D523" s="4" t="s">
        <v>1111</v>
      </c>
      <c r="E523" s="4" t="s">
        <v>1112</v>
      </c>
      <c r="F523" s="4" t="s">
        <v>18</v>
      </c>
      <c r="G523" s="4" t="s">
        <v>408</v>
      </c>
      <c r="H523" s="5">
        <f>ROUND(43500,0)</f>
        <v>43500</v>
      </c>
      <c r="I523" s="6">
        <f>ROUND(4.65,2)</f>
        <v>4.6500000000000004</v>
      </c>
      <c r="J523" s="6">
        <f>ROUND(9.9055,2)</f>
        <v>9.91</v>
      </c>
      <c r="K523" s="5">
        <f>ROUND(2003635.01,0)</f>
        <v>2003635</v>
      </c>
      <c r="L523" s="7">
        <f>ROUND(0.000696348671159148,4)</f>
        <v>6.9999999999999999E-4</v>
      </c>
    </row>
    <row r="524" spans="1:12">
      <c r="A524" s="3" t="s">
        <v>1113</v>
      </c>
      <c r="B524" s="4" t="s">
        <v>1114</v>
      </c>
      <c r="C524" s="4" t="s">
        <v>545</v>
      </c>
      <c r="D524" s="4" t="s">
        <v>655</v>
      </c>
      <c r="E524" s="4" t="s">
        <v>656</v>
      </c>
      <c r="F524" s="4" t="s">
        <v>26</v>
      </c>
      <c r="G524" s="4" t="s">
        <v>408</v>
      </c>
      <c r="H524" s="5">
        <f>ROUND(190000,0)</f>
        <v>190000</v>
      </c>
      <c r="I524" s="6">
        <f>ROUND(9.08,2)</f>
        <v>9.08</v>
      </c>
      <c r="J524" s="6">
        <f>ROUND(1.15901246,2)</f>
        <v>1.1599999999999999</v>
      </c>
      <c r="K524" s="5">
        <f>ROUND(1999528.3,0)</f>
        <v>1999528</v>
      </c>
      <c r="L524" s="7">
        <f>ROUND(0.000694921414180175,4)</f>
        <v>6.9999999999999999E-4</v>
      </c>
    </row>
    <row r="525" spans="1:12">
      <c r="A525" s="3" t="s">
        <v>1115</v>
      </c>
      <c r="B525" s="4" t="s">
        <v>1116</v>
      </c>
      <c r="C525" s="4" t="s">
        <v>400</v>
      </c>
      <c r="D525" s="4" t="s">
        <v>489</v>
      </c>
      <c r="E525" s="4" t="s">
        <v>490</v>
      </c>
      <c r="F525" s="4" t="s">
        <v>45</v>
      </c>
      <c r="G525" s="4" t="s">
        <v>408</v>
      </c>
      <c r="H525" s="5">
        <f>ROUND(143500,0)</f>
        <v>143500</v>
      </c>
      <c r="I525" s="6">
        <f>ROUND(165.6,2)</f>
        <v>165.6</v>
      </c>
      <c r="J525" s="6">
        <f>ROUND(8.407077,2)</f>
        <v>8.41</v>
      </c>
      <c r="K525" s="5">
        <f>ROUND(1997824.15,0)</f>
        <v>1997824</v>
      </c>
      <c r="L525" s="7">
        <f>ROUND(0.000694329149330523,4)</f>
        <v>6.9999999999999999E-4</v>
      </c>
    </row>
    <row r="526" spans="1:12">
      <c r="A526" s="3" t="s">
        <v>1117</v>
      </c>
      <c r="B526" s="4" t="s">
        <v>1118</v>
      </c>
      <c r="C526" s="4" t="s">
        <v>422</v>
      </c>
      <c r="D526" s="4" t="s">
        <v>1119</v>
      </c>
      <c r="E526" s="4" t="s">
        <v>1120</v>
      </c>
      <c r="F526" s="4" t="s">
        <v>95</v>
      </c>
      <c r="G526" s="4" t="s">
        <v>408</v>
      </c>
      <c r="H526" s="5">
        <f>ROUND(23885,0)</f>
        <v>23885</v>
      </c>
      <c r="I526" s="6">
        <f>ROUND(181.05,2)</f>
        <v>181.05</v>
      </c>
      <c r="J526" s="6">
        <f>ROUND(0.4601869,2)</f>
        <v>0.46</v>
      </c>
      <c r="K526" s="5">
        <f>ROUND(1990022.68,0)</f>
        <v>1990023</v>
      </c>
      <c r="L526" s="7">
        <f>ROUND(0.000691617805577557,4)</f>
        <v>6.9999999999999999E-4</v>
      </c>
    </row>
    <row r="527" spans="1:12">
      <c r="A527" s="3" t="s">
        <v>1121</v>
      </c>
      <c r="B527" s="4" t="s">
        <v>1122</v>
      </c>
      <c r="C527" s="4" t="s">
        <v>389</v>
      </c>
      <c r="D527" s="4" t="s">
        <v>489</v>
      </c>
      <c r="E527" s="4" t="s">
        <v>490</v>
      </c>
      <c r="F527" s="4" t="s">
        <v>45</v>
      </c>
      <c r="G527" s="4" t="s">
        <v>408</v>
      </c>
      <c r="H527" s="5">
        <f>ROUND(27000,0)</f>
        <v>27000</v>
      </c>
      <c r="I527" s="6">
        <f>ROUND(875.6,2)</f>
        <v>875.6</v>
      </c>
      <c r="J527" s="6">
        <f>ROUND(8.407077,2)</f>
        <v>8.41</v>
      </c>
      <c r="K527" s="5">
        <f>ROUND(1987533.89,0)</f>
        <v>1987534</v>
      </c>
      <c r="L527" s="7">
        <f>ROUND(0.000690752844843369,4)</f>
        <v>6.9999999999999999E-4</v>
      </c>
    </row>
    <row r="528" spans="1:12">
      <c r="A528" s="3" t="s">
        <v>1123</v>
      </c>
      <c r="B528" s="4" t="s">
        <v>1124</v>
      </c>
      <c r="C528" s="4" t="s">
        <v>406</v>
      </c>
      <c r="D528" s="4" t="s">
        <v>489</v>
      </c>
      <c r="E528" s="4" t="s">
        <v>490</v>
      </c>
      <c r="F528" s="4" t="s">
        <v>45</v>
      </c>
      <c r="G528" s="4" t="s">
        <v>408</v>
      </c>
      <c r="H528" s="5">
        <f>ROUND(8200,0)</f>
        <v>8200</v>
      </c>
      <c r="I528" s="6">
        <f>ROUND(2882.5,2)</f>
        <v>2882.5</v>
      </c>
      <c r="J528" s="6">
        <f>ROUND(8.407077,2)</f>
        <v>8.41</v>
      </c>
      <c r="K528" s="5">
        <f>ROUND(1987138.76,0)</f>
        <v>1987139</v>
      </c>
      <c r="L528" s="7">
        <f>ROUND(0.000690615520306184,4)</f>
        <v>6.9999999999999999E-4</v>
      </c>
    </row>
    <row r="529" spans="1:12">
      <c r="A529" s="3" t="s">
        <v>1125</v>
      </c>
      <c r="B529" s="4" t="s">
        <v>1126</v>
      </c>
      <c r="C529" s="4" t="s">
        <v>534</v>
      </c>
      <c r="D529" s="4" t="s">
        <v>1127</v>
      </c>
      <c r="E529" s="4" t="s">
        <v>1128</v>
      </c>
      <c r="F529" s="4" t="s">
        <v>20</v>
      </c>
      <c r="G529" s="4" t="s">
        <v>408</v>
      </c>
      <c r="H529" s="5">
        <f>ROUND(6756,0)</f>
        <v>6756</v>
      </c>
      <c r="I529" s="6">
        <f>ROUND(2599,2)</f>
        <v>2599</v>
      </c>
      <c r="J529" s="6">
        <f>ROUND(11.19645077,2)</f>
        <v>11.2</v>
      </c>
      <c r="K529" s="5">
        <f>ROUND(1965967.32,0)</f>
        <v>1965967</v>
      </c>
      <c r="L529" s="7">
        <f>ROUND(0.000683257541414347,4)</f>
        <v>6.9999999999999999E-4</v>
      </c>
    </row>
    <row r="530" spans="1:12">
      <c r="A530" s="3" t="s">
        <v>1129</v>
      </c>
      <c r="B530" s="4" t="s">
        <v>1130</v>
      </c>
      <c r="C530" s="4" t="s">
        <v>389</v>
      </c>
      <c r="D530" s="4" t="s">
        <v>577</v>
      </c>
      <c r="E530" s="4" t="s">
        <v>578</v>
      </c>
      <c r="F530" s="4" t="s">
        <v>18</v>
      </c>
      <c r="G530" s="4" t="s">
        <v>408</v>
      </c>
      <c r="H530" s="5">
        <f>ROUND(2942,0)</f>
        <v>2942</v>
      </c>
      <c r="I530" s="6">
        <f>ROUND(67.35,2)</f>
        <v>67.349999999999994</v>
      </c>
      <c r="J530" s="6">
        <f>ROUND(9.9055,2)</f>
        <v>9.91</v>
      </c>
      <c r="K530" s="5">
        <f>ROUND(1962712.42,0)</f>
        <v>1962712</v>
      </c>
      <c r="L530" s="7">
        <f>ROUND(0.000682126324761392,4)</f>
        <v>6.9999999999999999E-4</v>
      </c>
    </row>
    <row r="531" spans="1:12">
      <c r="A531" s="3" t="s">
        <v>1131</v>
      </c>
      <c r="B531" s="4" t="s">
        <v>1132</v>
      </c>
      <c r="C531" s="4" t="s">
        <v>422</v>
      </c>
      <c r="D531" s="4" t="s">
        <v>489</v>
      </c>
      <c r="E531" s="4" t="s">
        <v>490</v>
      </c>
      <c r="F531" s="4" t="s">
        <v>45</v>
      </c>
      <c r="G531" s="4" t="s">
        <v>408</v>
      </c>
      <c r="H531" s="5">
        <f>ROUND(2700,0)</f>
        <v>2700</v>
      </c>
      <c r="I531" s="6">
        <f>ROUND(8629,2)</f>
        <v>8629</v>
      </c>
      <c r="J531" s="6">
        <f>ROUND(8.407077,2)</f>
        <v>8.41</v>
      </c>
      <c r="K531" s="5">
        <f>ROUND(1958706.02,0)</f>
        <v>1958706</v>
      </c>
      <c r="L531" s="7">
        <f>ROUND(0.000680733929788152,4)</f>
        <v>6.9999999999999999E-4</v>
      </c>
    </row>
    <row r="532" spans="1:12">
      <c r="A532" s="3" t="s">
        <v>1133</v>
      </c>
      <c r="B532" s="4" t="s">
        <v>1134</v>
      </c>
      <c r="C532" s="4" t="s">
        <v>545</v>
      </c>
      <c r="D532" s="4" t="s">
        <v>577</v>
      </c>
      <c r="E532" s="4" t="s">
        <v>578</v>
      </c>
      <c r="F532" s="4" t="s">
        <v>21</v>
      </c>
      <c r="G532" s="4" t="s">
        <v>408</v>
      </c>
      <c r="H532" s="5">
        <f>ROUND(2401,0)</f>
        <v>2401</v>
      </c>
      <c r="I532" s="6">
        <f>ROUND(89.47,2)</f>
        <v>89.47</v>
      </c>
      <c r="J532" s="6">
        <f>ROUND(9.08595,2)</f>
        <v>9.09</v>
      </c>
      <c r="K532" s="5">
        <f>ROUND(1951820.79,0)</f>
        <v>1951821</v>
      </c>
      <c r="L532" s="7">
        <f>ROUND(0.000678341018535755,4)</f>
        <v>6.9999999999999999E-4</v>
      </c>
    </row>
    <row r="533" spans="1:12">
      <c r="A533" s="3" t="s">
        <v>1135</v>
      </c>
      <c r="B533" s="4" t="s">
        <v>1136</v>
      </c>
      <c r="C533" s="4" t="s">
        <v>415</v>
      </c>
      <c r="D533" s="4" t="s">
        <v>489</v>
      </c>
      <c r="E533" s="4" t="s">
        <v>490</v>
      </c>
      <c r="F533" s="4" t="s">
        <v>45</v>
      </c>
      <c r="G533" s="4" t="s">
        <v>408</v>
      </c>
      <c r="H533" s="5">
        <f>ROUND(4500,0)</f>
        <v>4500</v>
      </c>
      <c r="I533" s="6">
        <f>ROUND(5156,2)</f>
        <v>5156</v>
      </c>
      <c r="J533" s="6">
        <f>ROUND(8.407077,2)</f>
        <v>8.41</v>
      </c>
      <c r="K533" s="5">
        <f>ROUND(1950610.01,0)</f>
        <v>1950610</v>
      </c>
      <c r="L533" s="7">
        <f>ROUND(0.000677920220815682,4)</f>
        <v>6.9999999999999999E-4</v>
      </c>
    </row>
    <row r="534" spans="1:12">
      <c r="A534" s="3" t="s">
        <v>1137</v>
      </c>
      <c r="B534" s="4" t="s">
        <v>1138</v>
      </c>
      <c r="C534" s="4" t="s">
        <v>406</v>
      </c>
      <c r="D534" s="4" t="s">
        <v>423</v>
      </c>
      <c r="E534" s="4" t="s">
        <v>25</v>
      </c>
      <c r="F534" s="4" t="s">
        <v>21</v>
      </c>
      <c r="G534" s="4" t="s">
        <v>408</v>
      </c>
      <c r="H534" s="5">
        <f>ROUND(2300,0)</f>
        <v>2300</v>
      </c>
      <c r="I534" s="6">
        <f>ROUND(93.18,2)</f>
        <v>93.18</v>
      </c>
      <c r="J534" s="6">
        <f>ROUND(9.08595,2)</f>
        <v>9.09</v>
      </c>
      <c r="K534" s="5">
        <f>ROUND(1947246.29,0)</f>
        <v>1947246</v>
      </c>
      <c r="L534" s="7">
        <f>ROUND(0.00067675118456883,4)</f>
        <v>6.9999999999999999E-4</v>
      </c>
    </row>
    <row r="535" spans="1:12">
      <c r="A535" s="3" t="s">
        <v>1139</v>
      </c>
      <c r="B535" s="4" t="s">
        <v>1140</v>
      </c>
      <c r="C535" s="4" t="s">
        <v>545</v>
      </c>
      <c r="D535" s="4" t="s">
        <v>407</v>
      </c>
      <c r="E535" s="4" t="s">
        <v>35</v>
      </c>
      <c r="F535" s="4" t="s">
        <v>21</v>
      </c>
      <c r="G535" s="4" t="s">
        <v>408</v>
      </c>
      <c r="H535" s="5">
        <f>ROUND(4208,0)</f>
        <v>4208</v>
      </c>
      <c r="I535" s="6">
        <f>ROUND(50.91,2)</f>
        <v>50.91</v>
      </c>
      <c r="J535" s="6">
        <f>ROUND(9.08595,2)</f>
        <v>9.09</v>
      </c>
      <c r="K535" s="5">
        <f>ROUND(1946476.53,0)</f>
        <v>1946477</v>
      </c>
      <c r="L535" s="7">
        <f>ROUND(0.000676483660119299,4)</f>
        <v>6.9999999999999999E-4</v>
      </c>
    </row>
    <row r="536" spans="1:12">
      <c r="A536" s="3" t="s">
        <v>1141</v>
      </c>
      <c r="B536" s="4" t="s">
        <v>1142</v>
      </c>
      <c r="C536" s="4" t="s">
        <v>422</v>
      </c>
      <c r="D536" s="4" t="s">
        <v>407</v>
      </c>
      <c r="E536" s="4" t="s">
        <v>35</v>
      </c>
      <c r="F536" s="4" t="s">
        <v>21</v>
      </c>
      <c r="G536" s="4" t="s">
        <v>408</v>
      </c>
      <c r="H536" s="5">
        <f>ROUND(3411,0)</f>
        <v>3411</v>
      </c>
      <c r="I536" s="6">
        <f>ROUND(62.78,2)</f>
        <v>62.78</v>
      </c>
      <c r="J536" s="6">
        <f>ROUND(9.08595,2)</f>
        <v>9.09</v>
      </c>
      <c r="K536" s="5">
        <f>ROUND(1945688.77,0)</f>
        <v>1945689</v>
      </c>
      <c r="L536" s="7">
        <f>ROUND(0.000676209879901618,4)</f>
        <v>6.9999999999999999E-4</v>
      </c>
    </row>
    <row r="537" spans="1:12">
      <c r="A537" s="3" t="s">
        <v>1143</v>
      </c>
      <c r="B537" s="4" t="s">
        <v>1144</v>
      </c>
      <c r="C537" s="4" t="s">
        <v>406</v>
      </c>
      <c r="D537" s="4" t="s">
        <v>401</v>
      </c>
      <c r="E537" s="4" t="s">
        <v>402</v>
      </c>
      <c r="F537" s="4" t="s">
        <v>403</v>
      </c>
      <c r="G537" s="4" t="s">
        <v>408</v>
      </c>
      <c r="H537" s="5">
        <f>ROUND(90400,0)</f>
        <v>90400</v>
      </c>
      <c r="I537" s="6">
        <f>ROUND(73.2,2)</f>
        <v>73.2</v>
      </c>
      <c r="J537" s="6">
        <f>ROUND(0.29286371,2)</f>
        <v>0.28999999999999998</v>
      </c>
      <c r="K537" s="5">
        <f>ROUND(1937961.17,0)</f>
        <v>1937961</v>
      </c>
      <c r="L537" s="7">
        <f>ROUND(0.000673524209126056,4)</f>
        <v>6.9999999999999999E-4</v>
      </c>
    </row>
    <row r="538" spans="1:12">
      <c r="A538" s="3" t="s">
        <v>1145</v>
      </c>
      <c r="B538" s="4" t="s">
        <v>1146</v>
      </c>
      <c r="C538" s="4" t="s">
        <v>389</v>
      </c>
      <c r="D538" s="4" t="s">
        <v>489</v>
      </c>
      <c r="E538" s="4" t="s">
        <v>490</v>
      </c>
      <c r="F538" s="4" t="s">
        <v>45</v>
      </c>
      <c r="G538" s="4" t="s">
        <v>408</v>
      </c>
      <c r="H538" s="5">
        <f>ROUND(1400,0)</f>
        <v>1400</v>
      </c>
      <c r="I538" s="6">
        <f>ROUND(16440,2)</f>
        <v>16440</v>
      </c>
      <c r="J538" s="6">
        <f>ROUND(8.407077,2)</f>
        <v>8.41</v>
      </c>
      <c r="K538" s="5">
        <f>ROUND(1934972.84,0)</f>
        <v>1934973</v>
      </c>
      <c r="L538" s="7">
        <f>ROUND(0.000672485636923984,4)</f>
        <v>6.9999999999999999E-4</v>
      </c>
    </row>
    <row r="539" spans="1:12">
      <c r="A539" s="3" t="s">
        <v>1147</v>
      </c>
      <c r="B539" s="4" t="s">
        <v>1148</v>
      </c>
      <c r="C539" s="4" t="s">
        <v>406</v>
      </c>
      <c r="D539" s="4" t="s">
        <v>407</v>
      </c>
      <c r="E539" s="4" t="s">
        <v>35</v>
      </c>
      <c r="F539" s="4" t="s">
        <v>21</v>
      </c>
      <c r="G539" s="4" t="s">
        <v>408</v>
      </c>
      <c r="H539" s="5">
        <f>ROUND(7341,0)</f>
        <v>7341</v>
      </c>
      <c r="I539" s="6">
        <f>ROUND(28.99,2)</f>
        <v>28.99</v>
      </c>
      <c r="J539" s="6">
        <f>ROUND(9.08595,2)</f>
        <v>9.09</v>
      </c>
      <c r="K539" s="5">
        <f>ROUND(1933631.81,0)</f>
        <v>1933632</v>
      </c>
      <c r="L539" s="7">
        <f>ROUND(0.000672019571770488,4)</f>
        <v>6.9999999999999999E-4</v>
      </c>
    </row>
    <row r="540" spans="1:12">
      <c r="A540" s="3" t="s">
        <v>1149</v>
      </c>
      <c r="B540" s="4" t="s">
        <v>1150</v>
      </c>
      <c r="C540" s="4" t="s">
        <v>422</v>
      </c>
      <c r="D540" s="4" t="s">
        <v>395</v>
      </c>
      <c r="E540" s="4" t="s">
        <v>396</v>
      </c>
      <c r="F540" s="4" t="s">
        <v>397</v>
      </c>
      <c r="G540" s="4" t="s">
        <v>408</v>
      </c>
      <c r="H540" s="5">
        <f>ROUND(45958,0)</f>
        <v>45958</v>
      </c>
      <c r="I540" s="6">
        <f>ROUND(19.25,2)</f>
        <v>19.25</v>
      </c>
      <c r="J540" s="6">
        <f>ROUND(2.18129969,2)</f>
        <v>2.1800000000000002</v>
      </c>
      <c r="K540" s="5">
        <f>ROUND(1929777.29,0)</f>
        <v>1929777</v>
      </c>
      <c r="L540" s="7">
        <f>ROUND(0.000670679961578731,4)</f>
        <v>6.9999999999999999E-4</v>
      </c>
    </row>
    <row r="541" spans="1:12">
      <c r="A541" s="3" t="s">
        <v>1151</v>
      </c>
      <c r="B541" s="4" t="s">
        <v>1152</v>
      </c>
      <c r="C541" s="4" t="s">
        <v>534</v>
      </c>
      <c r="D541" s="4" t="s">
        <v>739</v>
      </c>
      <c r="E541" s="4" t="s">
        <v>740</v>
      </c>
      <c r="F541" s="4" t="s">
        <v>741</v>
      </c>
      <c r="G541" s="4" t="s">
        <v>408</v>
      </c>
      <c r="H541" s="5">
        <f>ROUND(3620,0)</f>
        <v>3620</v>
      </c>
      <c r="I541" s="6">
        <f>ROUND(70000,2)</f>
        <v>70000</v>
      </c>
      <c r="J541" s="6">
        <f>ROUND(0.00759599,2)</f>
        <v>0.01</v>
      </c>
      <c r="K541" s="5">
        <f>ROUND(1924823.87,0)</f>
        <v>1924824</v>
      </c>
      <c r="L541" s="7">
        <f>ROUND(0.000668958436741384,4)</f>
        <v>6.9999999999999999E-4</v>
      </c>
    </row>
    <row r="542" spans="1:12">
      <c r="A542" s="3" t="s">
        <v>1153</v>
      </c>
      <c r="B542" s="4" t="s">
        <v>1154</v>
      </c>
      <c r="C542" s="4" t="s">
        <v>400</v>
      </c>
      <c r="D542" s="4" t="s">
        <v>723</v>
      </c>
      <c r="E542" s="4" t="s">
        <v>724</v>
      </c>
      <c r="F542" s="4" t="s">
        <v>18</v>
      </c>
      <c r="G542" s="4" t="s">
        <v>408</v>
      </c>
      <c r="H542" s="5">
        <f>ROUND(40431,0)</f>
        <v>40431</v>
      </c>
      <c r="I542" s="6">
        <f>ROUND(4.7805,2)</f>
        <v>4.78</v>
      </c>
      <c r="J542" s="6">
        <f>ROUND(9.9055,2)</f>
        <v>9.91</v>
      </c>
      <c r="K542" s="5">
        <f>ROUND(1914539,0)</f>
        <v>1914539</v>
      </c>
      <c r="L542" s="7">
        <f>ROUND(0.000665384005509249,4)</f>
        <v>6.9999999999999999E-4</v>
      </c>
    </row>
    <row r="543" spans="1:12">
      <c r="A543" s="3" t="s">
        <v>1155</v>
      </c>
      <c r="B543" s="4" t="s">
        <v>1156</v>
      </c>
      <c r="C543" s="4" t="s">
        <v>422</v>
      </c>
      <c r="D543" s="4" t="s">
        <v>577</v>
      </c>
      <c r="E543" s="4" t="s">
        <v>578</v>
      </c>
      <c r="F543" s="4" t="s">
        <v>18</v>
      </c>
      <c r="G543" s="4" t="s">
        <v>408</v>
      </c>
      <c r="H543" s="5">
        <f>ROUND(8414,0)</f>
        <v>8414</v>
      </c>
      <c r="I543" s="6">
        <f>ROUND(22.955,2)</f>
        <v>22.96</v>
      </c>
      <c r="J543" s="6">
        <f>ROUND(9.9055,2)</f>
        <v>9.91</v>
      </c>
      <c r="K543" s="5">
        <f>ROUND(1913181.65,0)</f>
        <v>1913182</v>
      </c>
      <c r="L543" s="7">
        <f>ROUND(0.000664912268459297,4)</f>
        <v>6.9999999999999999E-4</v>
      </c>
    </row>
    <row r="544" spans="1:12">
      <c r="A544" s="3" t="s">
        <v>1157</v>
      </c>
      <c r="B544" s="4" t="s">
        <v>1158</v>
      </c>
      <c r="C544" s="4" t="s">
        <v>545</v>
      </c>
      <c r="D544" s="4" t="s">
        <v>407</v>
      </c>
      <c r="E544" s="4" t="s">
        <v>35</v>
      </c>
      <c r="F544" s="4" t="s">
        <v>21</v>
      </c>
      <c r="G544" s="4" t="s">
        <v>408</v>
      </c>
      <c r="H544" s="5">
        <f>ROUND(3173,0)</f>
        <v>3173</v>
      </c>
      <c r="I544" s="6">
        <f>ROUND(66.06,2)</f>
        <v>66.06</v>
      </c>
      <c r="J544" s="6">
        <f>ROUND(9.08595,2)</f>
        <v>9.09</v>
      </c>
      <c r="K544" s="5">
        <f>ROUND(1904491.26,0)</f>
        <v>1904491</v>
      </c>
      <c r="L544" s="7">
        <f>ROUND(0.000661891987071643,4)</f>
        <v>6.9999999999999999E-4</v>
      </c>
    </row>
    <row r="545" spans="1:12">
      <c r="A545" s="3" t="s">
        <v>1159</v>
      </c>
      <c r="B545" s="4" t="s">
        <v>1160</v>
      </c>
      <c r="C545" s="4" t="s">
        <v>406</v>
      </c>
      <c r="D545" s="4" t="s">
        <v>407</v>
      </c>
      <c r="E545" s="4" t="s">
        <v>35</v>
      </c>
      <c r="F545" s="4" t="s">
        <v>21</v>
      </c>
      <c r="G545" s="4" t="s">
        <v>408</v>
      </c>
      <c r="H545" s="5">
        <f>ROUND(900,0)</f>
        <v>900</v>
      </c>
      <c r="I545" s="6">
        <f>ROUND(231.11,2)</f>
        <v>231.11</v>
      </c>
      <c r="J545" s="6">
        <f>ROUND(9.08595,2)</f>
        <v>9.09</v>
      </c>
      <c r="K545" s="5">
        <f>ROUND(1889868.51,0)</f>
        <v>1889869</v>
      </c>
      <c r="L545" s="7">
        <f>ROUND(0.000656809957420348,4)</f>
        <v>6.9999999999999999E-4</v>
      </c>
    </row>
    <row r="546" spans="1:12">
      <c r="A546" s="3" t="s">
        <v>1161</v>
      </c>
      <c r="B546" s="4" t="s">
        <v>1162</v>
      </c>
      <c r="C546" s="4" t="s">
        <v>534</v>
      </c>
      <c r="D546" s="4" t="s">
        <v>520</v>
      </c>
      <c r="E546" s="4" t="s">
        <v>521</v>
      </c>
      <c r="F546" s="4" t="s">
        <v>18</v>
      </c>
      <c r="G546" s="4" t="s">
        <v>408</v>
      </c>
      <c r="H546" s="5">
        <f>ROUND(5287,0)</f>
        <v>5287</v>
      </c>
      <c r="I546" s="6">
        <f>ROUND(36,2)</f>
        <v>36</v>
      </c>
      <c r="J546" s="6">
        <f>ROUND(9.9055,2)</f>
        <v>9.91</v>
      </c>
      <c r="K546" s="5">
        <f>ROUND(1885333.63,0)</f>
        <v>1885334</v>
      </c>
      <c r="L546" s="7">
        <f>ROUND(0.000655233893094208,4)</f>
        <v>6.9999999999999999E-4</v>
      </c>
    </row>
    <row r="547" spans="1:12">
      <c r="A547" s="3" t="s">
        <v>1163</v>
      </c>
      <c r="B547" s="4" t="s">
        <v>1164</v>
      </c>
      <c r="C547" s="4" t="s">
        <v>400</v>
      </c>
      <c r="D547" s="4" t="s">
        <v>407</v>
      </c>
      <c r="E547" s="4" t="s">
        <v>35</v>
      </c>
      <c r="F547" s="4" t="s">
        <v>21</v>
      </c>
      <c r="G547" s="4" t="s">
        <v>408</v>
      </c>
      <c r="H547" s="5">
        <f>ROUND(1815,0)</f>
        <v>1815</v>
      </c>
      <c r="I547" s="6">
        <f>ROUND(114.25,2)</f>
        <v>114.25</v>
      </c>
      <c r="J547" s="6">
        <f>ROUND(9.08595,2)</f>
        <v>9.09</v>
      </c>
      <c r="K547" s="5">
        <f>ROUND(1884096.66,0)</f>
        <v>1884097</v>
      </c>
      <c r="L547" s="7">
        <f>ROUND(0.000654803993231476,4)</f>
        <v>6.9999999999999999E-4</v>
      </c>
    </row>
    <row r="548" spans="1:12">
      <c r="A548" s="3" t="s">
        <v>1165</v>
      </c>
      <c r="B548" s="4" t="s">
        <v>1166</v>
      </c>
      <c r="C548" s="4" t="s">
        <v>406</v>
      </c>
      <c r="D548" s="4" t="s">
        <v>407</v>
      </c>
      <c r="E548" s="4" t="s">
        <v>35</v>
      </c>
      <c r="F548" s="4" t="s">
        <v>21</v>
      </c>
      <c r="G548" s="4" t="s">
        <v>408</v>
      </c>
      <c r="H548" s="5">
        <f>ROUND(10781,0)</f>
        <v>10781</v>
      </c>
      <c r="I548" s="6">
        <f>ROUND(18.92,2)</f>
        <v>18.920000000000002</v>
      </c>
      <c r="J548" s="6">
        <f>ROUND(9.08595,2)</f>
        <v>9.09</v>
      </c>
      <c r="K548" s="5">
        <f>ROUND(1853320.46,0)</f>
        <v>1853320</v>
      </c>
      <c r="L548" s="7">
        <f>ROUND(0.000644107950356218,4)</f>
        <v>5.9999999999999995E-4</v>
      </c>
    </row>
    <row r="549" spans="1:12">
      <c r="A549" s="3" t="s">
        <v>1167</v>
      </c>
      <c r="B549" s="4" t="s">
        <v>1168</v>
      </c>
      <c r="C549" s="4" t="s">
        <v>545</v>
      </c>
      <c r="D549" s="4" t="s">
        <v>407</v>
      </c>
      <c r="E549" s="4" t="s">
        <v>35</v>
      </c>
      <c r="F549" s="4" t="s">
        <v>21</v>
      </c>
      <c r="G549" s="4" t="s">
        <v>408</v>
      </c>
      <c r="H549" s="5">
        <f>ROUND(5372,0)</f>
        <v>5372</v>
      </c>
      <c r="I549" s="6">
        <f>ROUND(37.92,2)</f>
        <v>37.92</v>
      </c>
      <c r="J549" s="6">
        <f>ROUND(9.08595,2)</f>
        <v>9.09</v>
      </c>
      <c r="K549" s="5">
        <f>ROUND(1850864.71,0)</f>
        <v>1850865</v>
      </c>
      <c r="L549" s="7">
        <f>ROUND(0.000643254472432013,4)</f>
        <v>5.9999999999999995E-4</v>
      </c>
    </row>
    <row r="550" spans="1:12">
      <c r="A550" s="3" t="s">
        <v>1169</v>
      </c>
      <c r="B550" s="4" t="s">
        <v>1170</v>
      </c>
      <c r="C550" s="4" t="s">
        <v>445</v>
      </c>
      <c r="D550" s="4" t="s">
        <v>407</v>
      </c>
      <c r="E550" s="4" t="s">
        <v>35</v>
      </c>
      <c r="F550" s="4" t="s">
        <v>21</v>
      </c>
      <c r="G550" s="4" t="s">
        <v>408</v>
      </c>
      <c r="H550" s="5">
        <f>ROUND(1482,0)</f>
        <v>1482</v>
      </c>
      <c r="I550" s="6">
        <f>ROUND(137.27,2)</f>
        <v>137.27000000000001</v>
      </c>
      <c r="J550" s="6">
        <f>ROUND(9.08595,2)</f>
        <v>9.09</v>
      </c>
      <c r="K550" s="5">
        <f>ROUND(1848392.42,0)</f>
        <v>1848392</v>
      </c>
      <c r="L550" s="7">
        <f>ROUND(0.000642395246151963,4)</f>
        <v>5.9999999999999995E-4</v>
      </c>
    </row>
    <row r="551" spans="1:12">
      <c r="A551" s="3" t="s">
        <v>1171</v>
      </c>
      <c r="B551" s="4" t="s">
        <v>1172</v>
      </c>
      <c r="C551" s="4" t="s">
        <v>400</v>
      </c>
      <c r="D551" s="4" t="s">
        <v>489</v>
      </c>
      <c r="E551" s="4" t="s">
        <v>490</v>
      </c>
      <c r="F551" s="4" t="s">
        <v>45</v>
      </c>
      <c r="G551" s="4" t="s">
        <v>408</v>
      </c>
      <c r="H551" s="5">
        <f>ROUND(3800,0)</f>
        <v>3800</v>
      </c>
      <c r="I551" s="6">
        <f>ROUND(5779,2)</f>
        <v>5779</v>
      </c>
      <c r="J551" s="6">
        <f>ROUND(8.407077,2)</f>
        <v>8.41</v>
      </c>
      <c r="K551" s="5">
        <f>ROUND(1846210.92,0)</f>
        <v>1846211</v>
      </c>
      <c r="L551" s="7">
        <f>ROUND(0.000641637081806385,4)</f>
        <v>5.9999999999999995E-4</v>
      </c>
    </row>
    <row r="552" spans="1:12">
      <c r="A552" s="3" t="s">
        <v>1173</v>
      </c>
      <c r="B552" s="4" t="s">
        <v>1174</v>
      </c>
      <c r="C552" s="4" t="s">
        <v>566</v>
      </c>
      <c r="D552" s="4" t="s">
        <v>407</v>
      </c>
      <c r="E552" s="4" t="s">
        <v>35</v>
      </c>
      <c r="F552" s="4" t="s">
        <v>21</v>
      </c>
      <c r="G552" s="4" t="s">
        <v>408</v>
      </c>
      <c r="H552" s="5">
        <f>ROUND(7290,0)</f>
        <v>7290</v>
      </c>
      <c r="I552" s="6">
        <f>ROUND(27.7,2)</f>
        <v>27.7</v>
      </c>
      <c r="J552" s="6">
        <f>ROUND(9.08595,2)</f>
        <v>9.09</v>
      </c>
      <c r="K552" s="5">
        <f>ROUND(1834753.14,0)</f>
        <v>1834753</v>
      </c>
      <c r="L552" s="7">
        <f>ROUND(0.00063765501429528,4)</f>
        <v>5.9999999999999995E-4</v>
      </c>
    </row>
    <row r="553" spans="1:12">
      <c r="A553" s="3" t="s">
        <v>1175</v>
      </c>
      <c r="B553" s="4" t="s">
        <v>1176</v>
      </c>
      <c r="C553" s="4" t="s">
        <v>545</v>
      </c>
      <c r="D553" s="4" t="s">
        <v>390</v>
      </c>
      <c r="E553" s="4" t="s">
        <v>391</v>
      </c>
      <c r="F553" s="4" t="s">
        <v>72</v>
      </c>
      <c r="G553" s="4" t="s">
        <v>408</v>
      </c>
      <c r="H553" s="5">
        <f>ROUND(126222,0)</f>
        <v>126222</v>
      </c>
      <c r="I553" s="6">
        <f>ROUND(2.37,2)</f>
        <v>2.37</v>
      </c>
      <c r="J553" s="6">
        <f>ROUND(6.12812423,2)</f>
        <v>6.13</v>
      </c>
      <c r="K553" s="5">
        <f>ROUND(1833204.71,0)</f>
        <v>1833205</v>
      </c>
      <c r="L553" s="7">
        <f>ROUND(0.000637116868790983,4)</f>
        <v>5.9999999999999995E-4</v>
      </c>
    </row>
    <row r="554" spans="1:12">
      <c r="A554" s="3" t="s">
        <v>1177</v>
      </c>
      <c r="B554" s="4" t="s">
        <v>1178</v>
      </c>
      <c r="C554" s="4" t="s">
        <v>400</v>
      </c>
      <c r="D554" s="4" t="s">
        <v>407</v>
      </c>
      <c r="E554" s="4" t="s">
        <v>35</v>
      </c>
      <c r="F554" s="4" t="s">
        <v>21</v>
      </c>
      <c r="G554" s="4" t="s">
        <v>408</v>
      </c>
      <c r="H554" s="5">
        <f>ROUND(3520,0)</f>
        <v>3520</v>
      </c>
      <c r="I554" s="6">
        <f>ROUND(57.14,2)</f>
        <v>57.14</v>
      </c>
      <c r="J554" s="6">
        <f>ROUND(9.08595,2)</f>
        <v>9.09</v>
      </c>
      <c r="K554" s="5">
        <f>ROUND(1827482.56,0)</f>
        <v>1827483</v>
      </c>
      <c r="L554" s="7">
        <f>ROUND(0.000635128177473061,4)</f>
        <v>5.9999999999999995E-4</v>
      </c>
    </row>
    <row r="555" spans="1:12">
      <c r="A555" s="3" t="s">
        <v>1179</v>
      </c>
      <c r="B555" s="4" t="s">
        <v>1180</v>
      </c>
      <c r="C555" s="4" t="s">
        <v>415</v>
      </c>
      <c r="D555" s="4" t="s">
        <v>723</v>
      </c>
      <c r="E555" s="4" t="s">
        <v>724</v>
      </c>
      <c r="F555" s="4" t="s">
        <v>18</v>
      </c>
      <c r="G555" s="4" t="s">
        <v>408</v>
      </c>
      <c r="H555" s="5">
        <f>ROUND(26292,0)</f>
        <v>26292</v>
      </c>
      <c r="I555" s="6">
        <f>ROUND(7.001,2)</f>
        <v>7</v>
      </c>
      <c r="J555" s="6">
        <f>ROUND(9.9055,2)</f>
        <v>9.91</v>
      </c>
      <c r="K555" s="5">
        <f>ROUND(1823308.26,0)</f>
        <v>1823308</v>
      </c>
      <c r="L555" s="7">
        <f>ROUND(0.000633677430084683,4)</f>
        <v>5.9999999999999995E-4</v>
      </c>
    </row>
    <row r="556" spans="1:12">
      <c r="A556" s="3" t="s">
        <v>1181</v>
      </c>
      <c r="B556" s="4" t="s">
        <v>1182</v>
      </c>
      <c r="C556" s="4" t="s">
        <v>415</v>
      </c>
      <c r="D556" s="4" t="s">
        <v>456</v>
      </c>
      <c r="E556" s="4" t="s">
        <v>457</v>
      </c>
      <c r="F556" s="4" t="s">
        <v>21</v>
      </c>
      <c r="G556" s="4" t="s">
        <v>408</v>
      </c>
      <c r="H556" s="5">
        <f>ROUND(1950,0)</f>
        <v>1950</v>
      </c>
      <c r="I556" s="6">
        <f>ROUND(102.76,2)</f>
        <v>102.76</v>
      </c>
      <c r="J556" s="6">
        <f>ROUND(9.08595,2)</f>
        <v>9.09</v>
      </c>
      <c r="K556" s="5">
        <f>ROUND(1820660.83,0)</f>
        <v>1820661</v>
      </c>
      <c r="L556" s="7">
        <f>ROUND(0.000632757335180528,4)</f>
        <v>5.9999999999999995E-4</v>
      </c>
    </row>
    <row r="557" spans="1:12">
      <c r="A557" s="3" t="s">
        <v>1183</v>
      </c>
      <c r="B557" s="4" t="s">
        <v>1184</v>
      </c>
      <c r="C557" s="4" t="s">
        <v>534</v>
      </c>
      <c r="D557" s="4" t="s">
        <v>407</v>
      </c>
      <c r="E557" s="4" t="s">
        <v>35</v>
      </c>
      <c r="F557" s="4" t="s">
        <v>21</v>
      </c>
      <c r="G557" s="4" t="s">
        <v>408</v>
      </c>
      <c r="H557" s="5">
        <f>ROUND(2300,0)</f>
        <v>2300</v>
      </c>
      <c r="I557" s="6">
        <f>ROUND(86.55,2)</f>
        <v>86.55</v>
      </c>
      <c r="J557" s="6">
        <f>ROUND(9.08595,2)</f>
        <v>9.09</v>
      </c>
      <c r="K557" s="5">
        <f>ROUND(1808694.64,0)</f>
        <v>1808695</v>
      </c>
      <c r="L557" s="7">
        <f>ROUND(0.000628598573498011,4)</f>
        <v>5.9999999999999995E-4</v>
      </c>
    </row>
    <row r="558" spans="1:12">
      <c r="A558" s="3" t="s">
        <v>1185</v>
      </c>
      <c r="B558" s="4" t="s">
        <v>1186</v>
      </c>
      <c r="C558" s="4" t="s">
        <v>406</v>
      </c>
      <c r="D558" s="4" t="s">
        <v>407</v>
      </c>
      <c r="E558" s="4" t="s">
        <v>35</v>
      </c>
      <c r="F558" s="4" t="s">
        <v>21</v>
      </c>
      <c r="G558" s="4" t="s">
        <v>408</v>
      </c>
      <c r="H558" s="5">
        <f>ROUND(1171,0)</f>
        <v>1171</v>
      </c>
      <c r="I558" s="6">
        <f>ROUND(169.96,2)</f>
        <v>169.96</v>
      </c>
      <c r="J558" s="6">
        <f>ROUND(9.08595,2)</f>
        <v>9.09</v>
      </c>
      <c r="K558" s="5">
        <f>ROUND(1808314.48,0)</f>
        <v>1808314</v>
      </c>
      <c r="L558" s="7">
        <f>ROUND(0.000628466451674672,4)</f>
        <v>5.9999999999999995E-4</v>
      </c>
    </row>
    <row r="559" spans="1:12">
      <c r="A559" s="3" t="s">
        <v>1187</v>
      </c>
      <c r="B559" s="4" t="s">
        <v>1188</v>
      </c>
      <c r="C559" s="4" t="s">
        <v>389</v>
      </c>
      <c r="D559" s="4" t="s">
        <v>407</v>
      </c>
      <c r="E559" s="4" t="s">
        <v>35</v>
      </c>
      <c r="F559" s="4" t="s">
        <v>21</v>
      </c>
      <c r="G559" s="4" t="s">
        <v>408</v>
      </c>
      <c r="H559" s="5">
        <f>ROUND(1476,0)</f>
        <v>1476</v>
      </c>
      <c r="I559" s="6">
        <f>ROUND(134.41,2)</f>
        <v>134.41</v>
      </c>
      <c r="J559" s="6">
        <f>ROUND(9.08595,2)</f>
        <v>9.09</v>
      </c>
      <c r="K559" s="5">
        <f>ROUND(1802553.99,0)</f>
        <v>1802554</v>
      </c>
      <c r="L559" s="7">
        <f>ROUND(0.000626464435570588,4)</f>
        <v>5.9999999999999995E-4</v>
      </c>
    </row>
    <row r="560" spans="1:12">
      <c r="A560" s="3" t="s">
        <v>1189</v>
      </c>
      <c r="B560" s="4" t="s">
        <v>1190</v>
      </c>
      <c r="C560" s="4" t="s">
        <v>445</v>
      </c>
      <c r="D560" s="4" t="s">
        <v>407</v>
      </c>
      <c r="E560" s="4" t="s">
        <v>35</v>
      </c>
      <c r="F560" s="4" t="s">
        <v>21</v>
      </c>
      <c r="G560" s="4" t="s">
        <v>408</v>
      </c>
      <c r="H560" s="5">
        <f>ROUND(1450,0)</f>
        <v>1450</v>
      </c>
      <c r="I560" s="6">
        <f>ROUND(136.66,2)</f>
        <v>136.66</v>
      </c>
      <c r="J560" s="6">
        <f>ROUND(9.08595,2)</f>
        <v>9.09</v>
      </c>
      <c r="K560" s="5">
        <f>ROUND(1800444.59,0)</f>
        <v>1800445</v>
      </c>
      <c r="L560" s="7">
        <f>ROUND(0.00062573132905188,4)</f>
        <v>5.9999999999999995E-4</v>
      </c>
    </row>
    <row r="561" spans="1:12">
      <c r="A561" s="3" t="s">
        <v>1191</v>
      </c>
      <c r="B561" s="4" t="s">
        <v>1192</v>
      </c>
      <c r="C561" s="4" t="s">
        <v>422</v>
      </c>
      <c r="D561" s="4" t="s">
        <v>577</v>
      </c>
      <c r="E561" s="4" t="s">
        <v>578</v>
      </c>
      <c r="F561" s="4" t="s">
        <v>18</v>
      </c>
      <c r="G561" s="4" t="s">
        <v>408</v>
      </c>
      <c r="H561" s="5">
        <f>ROUND(1831,0)</f>
        <v>1831</v>
      </c>
      <c r="I561" s="6">
        <f>ROUND(99.16,2)</f>
        <v>99.16</v>
      </c>
      <c r="J561" s="6">
        <f>ROUND(9.9055,2)</f>
        <v>9.91</v>
      </c>
      <c r="K561" s="5">
        <f>ROUND(1798461.99,0)</f>
        <v>1798462</v>
      </c>
      <c r="L561" s="7">
        <f>ROUND(0.000625042290944365,4)</f>
        <v>5.9999999999999995E-4</v>
      </c>
    </row>
    <row r="562" spans="1:12">
      <c r="A562" s="3" t="s">
        <v>1193</v>
      </c>
      <c r="B562" s="4" t="s">
        <v>1194</v>
      </c>
      <c r="C562" s="4" t="s">
        <v>406</v>
      </c>
      <c r="D562" s="4" t="s">
        <v>407</v>
      </c>
      <c r="E562" s="4" t="s">
        <v>35</v>
      </c>
      <c r="F562" s="4" t="s">
        <v>21</v>
      </c>
      <c r="G562" s="4" t="s">
        <v>408</v>
      </c>
      <c r="H562" s="5">
        <f>ROUND(1334,0)</f>
        <v>1334</v>
      </c>
      <c r="I562" s="6">
        <f>ROUND(147.7,2)</f>
        <v>147.69999999999999</v>
      </c>
      <c r="J562" s="6">
        <f>ROUND(9.08595,2)</f>
        <v>9.09</v>
      </c>
      <c r="K562" s="5">
        <f>ROUND(1790221.08,0)</f>
        <v>1790221</v>
      </c>
      <c r="L562" s="7">
        <f>ROUND(0.000622178223038284,4)</f>
        <v>5.9999999999999995E-4</v>
      </c>
    </row>
    <row r="563" spans="1:12">
      <c r="A563" s="3" t="s">
        <v>1195</v>
      </c>
      <c r="B563" s="4" t="s">
        <v>1196</v>
      </c>
      <c r="C563" s="4" t="s">
        <v>400</v>
      </c>
      <c r="D563" s="4" t="s">
        <v>541</v>
      </c>
      <c r="E563" s="4" t="s">
        <v>542</v>
      </c>
      <c r="F563" s="4" t="s">
        <v>18</v>
      </c>
      <c r="G563" s="4" t="s">
        <v>408</v>
      </c>
      <c r="H563" s="5">
        <f>ROUND(1255,0)</f>
        <v>1255</v>
      </c>
      <c r="I563" s="6">
        <f>ROUND(143.4,2)</f>
        <v>143.4</v>
      </c>
      <c r="J563" s="6">
        <f>ROUND(9.9055,2)</f>
        <v>9.91</v>
      </c>
      <c r="K563" s="5">
        <f>ROUND(1782663.12,0)</f>
        <v>1782663</v>
      </c>
      <c r="L563" s="7">
        <f>ROUND(0.000619551509402114,4)</f>
        <v>5.9999999999999995E-4</v>
      </c>
    </row>
    <row r="564" spans="1:12">
      <c r="A564" s="3" t="s">
        <v>1197</v>
      </c>
      <c r="B564" s="4" t="s">
        <v>1198</v>
      </c>
      <c r="C564" s="4" t="s">
        <v>445</v>
      </c>
      <c r="D564" s="4" t="s">
        <v>489</v>
      </c>
      <c r="E564" s="4" t="s">
        <v>490</v>
      </c>
      <c r="F564" s="4" t="s">
        <v>45</v>
      </c>
      <c r="G564" s="4" t="s">
        <v>408</v>
      </c>
      <c r="H564" s="5">
        <f>ROUND(2400,0)</f>
        <v>2400</v>
      </c>
      <c r="I564" s="6">
        <f>ROUND(8819,2)</f>
        <v>8819</v>
      </c>
      <c r="J564" s="6">
        <f>ROUND(8.407077,2)</f>
        <v>8.41</v>
      </c>
      <c r="K564" s="5">
        <f>ROUND(1779408.29,0)</f>
        <v>1779408</v>
      </c>
      <c r="L564" s="7">
        <f>ROUND(0.000618420317077146,4)</f>
        <v>5.9999999999999995E-4</v>
      </c>
    </row>
    <row r="565" spans="1:12">
      <c r="A565" s="3" t="s">
        <v>1199</v>
      </c>
      <c r="B565" s="4" t="s">
        <v>1200</v>
      </c>
      <c r="C565" s="4" t="s">
        <v>566</v>
      </c>
      <c r="D565" s="4" t="s">
        <v>407</v>
      </c>
      <c r="E565" s="4" t="s">
        <v>35</v>
      </c>
      <c r="F565" s="4" t="s">
        <v>21</v>
      </c>
      <c r="G565" s="4" t="s">
        <v>408</v>
      </c>
      <c r="H565" s="5">
        <f>ROUND(900,0)</f>
        <v>900</v>
      </c>
      <c r="I565" s="6">
        <f>ROUND(215.33,2)</f>
        <v>215.33</v>
      </c>
      <c r="J565" s="6">
        <f>ROUND(9.08595,2)</f>
        <v>9.09</v>
      </c>
      <c r="K565" s="5">
        <f>ROUND(1760829.85,0)</f>
        <v>1760830</v>
      </c>
      <c r="L565" s="7">
        <f>ROUND(0.000611963516341662,4)</f>
        <v>5.9999999999999995E-4</v>
      </c>
    </row>
    <row r="566" spans="1:12">
      <c r="A566" s="3" t="s">
        <v>1201</v>
      </c>
      <c r="B566" s="4" t="s">
        <v>1202</v>
      </c>
      <c r="C566" s="4" t="s">
        <v>493</v>
      </c>
      <c r="D566" s="4" t="s">
        <v>407</v>
      </c>
      <c r="E566" s="4" t="s">
        <v>35</v>
      </c>
      <c r="F566" s="4" t="s">
        <v>21</v>
      </c>
      <c r="G566" s="4" t="s">
        <v>408</v>
      </c>
      <c r="H566" s="5">
        <f>ROUND(1700,0)</f>
        <v>1700</v>
      </c>
      <c r="I566" s="6">
        <f>ROUND(113.89,2)</f>
        <v>113.89</v>
      </c>
      <c r="J566" s="6">
        <f>ROUND(9.08595,2)</f>
        <v>9.09</v>
      </c>
      <c r="K566" s="5">
        <f>ROUND(1759158.04,0)</f>
        <v>1759158</v>
      </c>
      <c r="L566" s="7">
        <f>ROUND(0.00061138249102212,4)</f>
        <v>5.9999999999999995E-4</v>
      </c>
    </row>
    <row r="567" spans="1:12">
      <c r="A567" s="3" t="s">
        <v>1203</v>
      </c>
      <c r="B567" s="4" t="s">
        <v>1204</v>
      </c>
      <c r="C567" s="4" t="s">
        <v>400</v>
      </c>
      <c r="D567" s="4" t="s">
        <v>407</v>
      </c>
      <c r="E567" s="4" t="s">
        <v>35</v>
      </c>
      <c r="F567" s="4" t="s">
        <v>21</v>
      </c>
      <c r="G567" s="4" t="s">
        <v>408</v>
      </c>
      <c r="H567" s="5">
        <f>ROUND(2387,0)</f>
        <v>2387</v>
      </c>
      <c r="I567" s="6">
        <f>ROUND(81.09,2)</f>
        <v>81.09</v>
      </c>
      <c r="J567" s="6">
        <f>ROUND(9.08595,2)</f>
        <v>9.09</v>
      </c>
      <c r="K567" s="5">
        <f>ROUND(1758693.11,0)</f>
        <v>1758693</v>
      </c>
      <c r="L567" s="7">
        <f>ROUND(0.000611220908006219,4)</f>
        <v>5.9999999999999995E-4</v>
      </c>
    </row>
    <row r="568" spans="1:12">
      <c r="A568" s="3" t="s">
        <v>1205</v>
      </c>
      <c r="B568" s="4" t="s">
        <v>1206</v>
      </c>
      <c r="C568" s="4" t="s">
        <v>422</v>
      </c>
      <c r="D568" s="4" t="s">
        <v>407</v>
      </c>
      <c r="E568" s="4" t="s">
        <v>35</v>
      </c>
      <c r="F568" s="4" t="s">
        <v>21</v>
      </c>
      <c r="G568" s="4" t="s">
        <v>408</v>
      </c>
      <c r="H568" s="5">
        <f>ROUND(2223,0)</f>
        <v>2223</v>
      </c>
      <c r="I568" s="6">
        <f>ROUND(86.14,2)</f>
        <v>86.14</v>
      </c>
      <c r="J568" s="6">
        <f>ROUND(9.08595,2)</f>
        <v>9.09</v>
      </c>
      <c r="K568" s="5">
        <f>ROUND(1739861.48,0)</f>
        <v>1739861</v>
      </c>
      <c r="L568" s="7">
        <f>ROUND(0.000604676112940843,4)</f>
        <v>5.9999999999999995E-4</v>
      </c>
    </row>
    <row r="569" spans="1:12">
      <c r="A569" s="3" t="s">
        <v>1207</v>
      </c>
      <c r="B569" s="4" t="s">
        <v>1208</v>
      </c>
      <c r="C569" s="4" t="s">
        <v>400</v>
      </c>
      <c r="D569" s="4" t="s">
        <v>717</v>
      </c>
      <c r="E569" s="4" t="s">
        <v>718</v>
      </c>
      <c r="F569" s="4" t="s">
        <v>175</v>
      </c>
      <c r="G569" s="4" t="s">
        <v>408</v>
      </c>
      <c r="H569" s="5">
        <f>ROUND(46631,0)</f>
        <v>46631</v>
      </c>
      <c r="I569" s="6">
        <f>ROUND(6219,2)</f>
        <v>6219</v>
      </c>
      <c r="J569" s="6">
        <f>ROUND(0.59923836,2)</f>
        <v>0.6</v>
      </c>
      <c r="K569" s="5">
        <f>ROUND(1737780.39,0)</f>
        <v>1737780</v>
      </c>
      <c r="L569" s="7">
        <f>ROUND(0.000603952845355265,4)</f>
        <v>5.9999999999999995E-4</v>
      </c>
    </row>
    <row r="570" spans="1:12">
      <c r="A570" s="3" t="s">
        <v>1209</v>
      </c>
      <c r="B570" s="4" t="s">
        <v>1210</v>
      </c>
      <c r="C570" s="4" t="s">
        <v>389</v>
      </c>
      <c r="D570" s="4" t="s">
        <v>739</v>
      </c>
      <c r="E570" s="4" t="s">
        <v>740</v>
      </c>
      <c r="F570" s="4" t="s">
        <v>741</v>
      </c>
      <c r="G570" s="4" t="s">
        <v>408</v>
      </c>
      <c r="H570" s="5">
        <f>ROUND(906,0)</f>
        <v>906</v>
      </c>
      <c r="I570" s="6">
        <f>ROUND(252000,2)</f>
        <v>252000</v>
      </c>
      <c r="J570" s="6">
        <f>ROUND(0.00759599,2)</f>
        <v>0.01</v>
      </c>
      <c r="K570" s="5">
        <f>ROUND(1734255.67,0)</f>
        <v>1734256</v>
      </c>
      <c r="L570" s="7">
        <f>ROUND(0.000602727854737734,4)</f>
        <v>5.9999999999999995E-4</v>
      </c>
    </row>
    <row r="571" spans="1:12">
      <c r="A571" s="3" t="s">
        <v>1211</v>
      </c>
      <c r="B571" s="4" t="s">
        <v>1212</v>
      </c>
      <c r="C571" s="4" t="s">
        <v>534</v>
      </c>
      <c r="D571" s="4" t="s">
        <v>407</v>
      </c>
      <c r="E571" s="4" t="s">
        <v>35</v>
      </c>
      <c r="F571" s="4" t="s">
        <v>21</v>
      </c>
      <c r="G571" s="4" t="s">
        <v>408</v>
      </c>
      <c r="H571" s="5">
        <f>ROUND(1172,0)</f>
        <v>1172</v>
      </c>
      <c r="I571" s="6">
        <f>ROUND(162.67,2)</f>
        <v>162.66999999999999</v>
      </c>
      <c r="J571" s="6">
        <f>ROUND(9.08595,2)</f>
        <v>9.09</v>
      </c>
      <c r="K571" s="5">
        <f>ROUND(1732229.46,0)</f>
        <v>1732229</v>
      </c>
      <c r="L571" s="7">
        <f>ROUND(0.000602023660294161,4)</f>
        <v>5.9999999999999995E-4</v>
      </c>
    </row>
    <row r="572" spans="1:12">
      <c r="A572" s="3" t="s">
        <v>1213</v>
      </c>
      <c r="B572" s="4" t="s">
        <v>1214</v>
      </c>
      <c r="C572" s="4" t="s">
        <v>406</v>
      </c>
      <c r="D572" s="4" t="s">
        <v>489</v>
      </c>
      <c r="E572" s="4" t="s">
        <v>490</v>
      </c>
      <c r="F572" s="4" t="s">
        <v>45</v>
      </c>
      <c r="G572" s="4" t="s">
        <v>408</v>
      </c>
      <c r="H572" s="5">
        <f>ROUND(1000,0)</f>
        <v>1000</v>
      </c>
      <c r="I572" s="6">
        <f>ROUND(20565,2)</f>
        <v>20565</v>
      </c>
      <c r="J572" s="6">
        <f>ROUND(8.407077,2)</f>
        <v>8.41</v>
      </c>
      <c r="K572" s="5">
        <f>ROUND(1728915.39,0)</f>
        <v>1728915</v>
      </c>
      <c r="L572" s="7">
        <f>ROUND(0.000600871879541124,4)</f>
        <v>5.9999999999999995E-4</v>
      </c>
    </row>
    <row r="573" spans="1:12">
      <c r="A573" s="3" t="s">
        <v>1215</v>
      </c>
      <c r="B573" s="4" t="s">
        <v>1216</v>
      </c>
      <c r="C573" s="4" t="s">
        <v>534</v>
      </c>
      <c r="D573" s="4" t="s">
        <v>1217</v>
      </c>
      <c r="E573" s="4" t="s">
        <v>1218</v>
      </c>
      <c r="F573" s="4" t="s">
        <v>21</v>
      </c>
      <c r="G573" s="4" t="s">
        <v>408</v>
      </c>
      <c r="H573" s="5">
        <f>ROUND(2845,0)</f>
        <v>2845</v>
      </c>
      <c r="I573" s="6">
        <f>ROUND(66.88,2)</f>
        <v>66.88</v>
      </c>
      <c r="J573" s="6">
        <f>ROUND(9.08595,2)</f>
        <v>9.09</v>
      </c>
      <c r="K573" s="5">
        <f>ROUND(1728816.42,0)</f>
        <v>1728816</v>
      </c>
      <c r="L573" s="7">
        <f>ROUND(0.000600837483242577,4)</f>
        <v>5.9999999999999995E-4</v>
      </c>
    </row>
    <row r="574" spans="1:12">
      <c r="A574" s="3" t="s">
        <v>1219</v>
      </c>
      <c r="B574" s="4" t="s">
        <v>1220</v>
      </c>
      <c r="C574" s="4" t="s">
        <v>400</v>
      </c>
      <c r="D574" s="4" t="s">
        <v>1221</v>
      </c>
      <c r="E574" s="4" t="s">
        <v>1222</v>
      </c>
      <c r="F574" s="4" t="s">
        <v>1223</v>
      </c>
      <c r="G574" s="4" t="s">
        <v>408</v>
      </c>
      <c r="H574" s="5">
        <f>ROUND(10500,0)</f>
        <v>10500</v>
      </c>
      <c r="I574" s="6">
        <f>ROUND(25,2)</f>
        <v>25</v>
      </c>
      <c r="J574" s="6">
        <f>ROUND(6.57015886,2)</f>
        <v>6.57</v>
      </c>
      <c r="K574" s="5">
        <f>ROUND(1724666.7,0)</f>
        <v>1724667</v>
      </c>
      <c r="L574" s="7">
        <f>ROUND(0.000599395278453151,4)</f>
        <v>5.9999999999999995E-4</v>
      </c>
    </row>
    <row r="575" spans="1:12">
      <c r="A575" s="3" t="s">
        <v>1224</v>
      </c>
      <c r="B575" s="4" t="s">
        <v>1225</v>
      </c>
      <c r="C575" s="4" t="s">
        <v>415</v>
      </c>
      <c r="D575" s="4" t="s">
        <v>520</v>
      </c>
      <c r="E575" s="4" t="s">
        <v>521</v>
      </c>
      <c r="F575" s="4" t="s">
        <v>18</v>
      </c>
      <c r="G575" s="4" t="s">
        <v>408</v>
      </c>
      <c r="H575" s="5">
        <f>ROUND(12092,0)</f>
        <v>12092</v>
      </c>
      <c r="I575" s="6">
        <f>ROUND(14.395,2)</f>
        <v>14.4</v>
      </c>
      <c r="J575" s="6">
        <f>ROUND(9.9055,2)</f>
        <v>9.91</v>
      </c>
      <c r="K575" s="5">
        <f>ROUND(1724194.32,0)</f>
        <v>1724194</v>
      </c>
      <c r="L575" s="7">
        <f>ROUND(0.00059923110624432,4)</f>
        <v>5.9999999999999995E-4</v>
      </c>
    </row>
    <row r="576" spans="1:12">
      <c r="A576" s="3" t="s">
        <v>1226</v>
      </c>
      <c r="B576" s="4" t="s">
        <v>1227</v>
      </c>
      <c r="C576" s="4" t="s">
        <v>545</v>
      </c>
      <c r="D576" s="4" t="s">
        <v>1228</v>
      </c>
      <c r="E576" s="4" t="s">
        <v>1229</v>
      </c>
      <c r="F576" s="4" t="s">
        <v>18</v>
      </c>
      <c r="G576" s="4" t="s">
        <v>408</v>
      </c>
      <c r="H576" s="5">
        <f>ROUND(13479,0)</f>
        <v>13479</v>
      </c>
      <c r="I576" s="6">
        <f>ROUND(12.906,2)</f>
        <v>12.91</v>
      </c>
      <c r="J576" s="6">
        <f>ROUND(9.9055,2)</f>
        <v>9.91</v>
      </c>
      <c r="K576" s="5">
        <f>ROUND(1723160.48,0)</f>
        <v>1723160</v>
      </c>
      <c r="L576" s="7">
        <f>ROUND(0.000598871802725168,4)</f>
        <v>5.9999999999999995E-4</v>
      </c>
    </row>
    <row r="577" spans="1:12">
      <c r="A577" s="3" t="s">
        <v>1230</v>
      </c>
      <c r="B577" s="4" t="s">
        <v>1231</v>
      </c>
      <c r="C577" s="4" t="s">
        <v>400</v>
      </c>
      <c r="D577" s="4" t="s">
        <v>771</v>
      </c>
      <c r="E577" s="4" t="s">
        <v>772</v>
      </c>
      <c r="F577" s="4" t="s">
        <v>18</v>
      </c>
      <c r="G577" s="4" t="s">
        <v>408</v>
      </c>
      <c r="H577" s="5">
        <f>ROUND(9769,0)</f>
        <v>9769</v>
      </c>
      <c r="I577" s="6">
        <f>ROUND(17.78,2)</f>
        <v>17.78</v>
      </c>
      <c r="J577" s="6">
        <f>ROUND(9.9055,2)</f>
        <v>9.91</v>
      </c>
      <c r="K577" s="5">
        <f>ROUND(1720514.23,0)</f>
        <v>1720514</v>
      </c>
      <c r="L577" s="7">
        <f>ROUND(0.000597952117921369,4)</f>
        <v>5.9999999999999995E-4</v>
      </c>
    </row>
    <row r="578" spans="1:12">
      <c r="A578" s="3" t="s">
        <v>1232</v>
      </c>
      <c r="B578" s="4" t="s">
        <v>1233</v>
      </c>
      <c r="C578" s="4" t="s">
        <v>566</v>
      </c>
      <c r="D578" s="4" t="s">
        <v>552</v>
      </c>
      <c r="E578" s="4" t="s">
        <v>553</v>
      </c>
      <c r="F578" s="4" t="s">
        <v>26</v>
      </c>
      <c r="G578" s="4" t="s">
        <v>408</v>
      </c>
      <c r="H578" s="5">
        <f>ROUND(60000,0)</f>
        <v>60000</v>
      </c>
      <c r="I578" s="6">
        <f>ROUND(24.65,2)</f>
        <v>24.65</v>
      </c>
      <c r="J578" s="6">
        <f>ROUND(1.15901246,2)</f>
        <v>1.1599999999999999</v>
      </c>
      <c r="K578" s="5">
        <f>ROUND(1714179.43,0)</f>
        <v>1714179</v>
      </c>
      <c r="L578" s="7">
        <f>ROUND(0.000595750504583589,4)</f>
        <v>5.9999999999999995E-4</v>
      </c>
    </row>
    <row r="579" spans="1:12">
      <c r="A579" s="3" t="s">
        <v>1234</v>
      </c>
      <c r="B579" s="4" t="s">
        <v>1235</v>
      </c>
      <c r="C579" s="4" t="s">
        <v>534</v>
      </c>
      <c r="D579" s="4" t="s">
        <v>489</v>
      </c>
      <c r="E579" s="4" t="s">
        <v>490</v>
      </c>
      <c r="F579" s="4" t="s">
        <v>45</v>
      </c>
      <c r="G579" s="4" t="s">
        <v>408</v>
      </c>
      <c r="H579" s="5">
        <f>ROUND(1400,0)</f>
        <v>1400</v>
      </c>
      <c r="I579" s="6">
        <f>ROUND(14520,2)</f>
        <v>14520</v>
      </c>
      <c r="J579" s="6">
        <f>ROUND(8.407077,2)</f>
        <v>8.41</v>
      </c>
      <c r="K579" s="5">
        <f>ROUND(1708990.61,0)</f>
        <v>1708991</v>
      </c>
      <c r="L579" s="7">
        <f>ROUND(0.00059394716820054,4)</f>
        <v>5.9999999999999995E-4</v>
      </c>
    </row>
    <row r="580" spans="1:12">
      <c r="A580" s="3" t="s">
        <v>1236</v>
      </c>
      <c r="B580" s="4" t="s">
        <v>1237</v>
      </c>
      <c r="C580" s="4" t="s">
        <v>389</v>
      </c>
      <c r="D580" s="4" t="s">
        <v>739</v>
      </c>
      <c r="E580" s="4" t="s">
        <v>740</v>
      </c>
      <c r="F580" s="4" t="s">
        <v>741</v>
      </c>
      <c r="G580" s="4" t="s">
        <v>408</v>
      </c>
      <c r="H580" s="5">
        <f>ROUND(4930,0)</f>
        <v>4930</v>
      </c>
      <c r="I580" s="6">
        <f>ROUND(45600,2)</f>
        <v>45600</v>
      </c>
      <c r="J580" s="6">
        <f>ROUND(0.00759599,2)</f>
        <v>0.01</v>
      </c>
      <c r="K580" s="5">
        <f>ROUND(1707639.32,0)</f>
        <v>1707639</v>
      </c>
      <c r="L580" s="7">
        <f>ROUND(0.000593477537259199,4)</f>
        <v>5.9999999999999995E-4</v>
      </c>
    </row>
    <row r="581" spans="1:12">
      <c r="A581" s="3" t="s">
        <v>1238</v>
      </c>
      <c r="B581" s="4" t="s">
        <v>1239</v>
      </c>
      <c r="C581" s="4" t="s">
        <v>389</v>
      </c>
      <c r="D581" s="4" t="s">
        <v>407</v>
      </c>
      <c r="E581" s="4" t="s">
        <v>35</v>
      </c>
      <c r="F581" s="4" t="s">
        <v>21</v>
      </c>
      <c r="G581" s="4" t="s">
        <v>408</v>
      </c>
      <c r="H581" s="5">
        <f>ROUND(780,0)</f>
        <v>780</v>
      </c>
      <c r="I581" s="6">
        <f>ROUND(240.87,2)</f>
        <v>240.87</v>
      </c>
      <c r="J581" s="6">
        <f>ROUND(9.08595,2)</f>
        <v>9.09</v>
      </c>
      <c r="K581" s="5">
        <f>ROUND(1707055.57,0)</f>
        <v>1707056</v>
      </c>
      <c r="L581" s="7">
        <f>ROUND(0.00059327465922265,4)</f>
        <v>5.9999999999999995E-4</v>
      </c>
    </row>
    <row r="582" spans="1:12">
      <c r="A582" s="3" t="s">
        <v>1240</v>
      </c>
      <c r="B582" s="4" t="s">
        <v>1241</v>
      </c>
      <c r="C582" s="4" t="s">
        <v>415</v>
      </c>
      <c r="D582" s="4" t="s">
        <v>407</v>
      </c>
      <c r="E582" s="4" t="s">
        <v>35</v>
      </c>
      <c r="F582" s="4" t="s">
        <v>21</v>
      </c>
      <c r="G582" s="4" t="s">
        <v>408</v>
      </c>
      <c r="H582" s="5">
        <f>ROUND(4557,0)</f>
        <v>4557</v>
      </c>
      <c r="I582" s="6">
        <f>ROUND(41.2,2)</f>
        <v>41.2</v>
      </c>
      <c r="J582" s="6">
        <f>ROUND(9.08595,2)</f>
        <v>9.09</v>
      </c>
      <c r="K582" s="5">
        <f>ROUND(1705872.57,0)</f>
        <v>1705873</v>
      </c>
      <c r="L582" s="7">
        <f>ROUND(0.00059286351623809,4)</f>
        <v>5.9999999999999995E-4</v>
      </c>
    </row>
    <row r="583" spans="1:12">
      <c r="A583" s="3" t="s">
        <v>1242</v>
      </c>
      <c r="B583" s="4" t="s">
        <v>1243</v>
      </c>
      <c r="C583" s="4" t="s">
        <v>545</v>
      </c>
      <c r="D583" s="4" t="s">
        <v>486</v>
      </c>
      <c r="E583" s="4" t="s">
        <v>30</v>
      </c>
      <c r="F583" s="4" t="s">
        <v>20</v>
      </c>
      <c r="G583" s="4" t="s">
        <v>408</v>
      </c>
      <c r="H583" s="5">
        <f>ROUND(22241,0)</f>
        <v>22241</v>
      </c>
      <c r="I583" s="6">
        <f>ROUND(683.6,2)</f>
        <v>683.6</v>
      </c>
      <c r="J583" s="6">
        <f>ROUND(11.19645077,2)</f>
        <v>11.2</v>
      </c>
      <c r="K583" s="5">
        <f>ROUND(1702302.55,0)</f>
        <v>1702303</v>
      </c>
      <c r="L583" s="7">
        <f>ROUND(0.000591622781937379,4)</f>
        <v>5.9999999999999995E-4</v>
      </c>
    </row>
    <row r="584" spans="1:12">
      <c r="A584" s="3" t="s">
        <v>1244</v>
      </c>
      <c r="B584" s="4" t="s">
        <v>1245</v>
      </c>
      <c r="C584" s="4" t="s">
        <v>566</v>
      </c>
      <c r="D584" s="4" t="s">
        <v>1246</v>
      </c>
      <c r="E584" s="4" t="s">
        <v>1247</v>
      </c>
      <c r="F584" s="4" t="s">
        <v>1248</v>
      </c>
      <c r="G584" s="4" t="s">
        <v>408</v>
      </c>
      <c r="H584" s="5">
        <f>ROUND(2382,0)</f>
        <v>2382</v>
      </c>
      <c r="I584" s="6">
        <f>ROUND(27300,2)</f>
        <v>27300</v>
      </c>
      <c r="J584" s="6">
        <f>ROUND(2.6140712,2)</f>
        <v>2.61</v>
      </c>
      <c r="K584" s="5">
        <f>ROUND(1699893.9,0)</f>
        <v>1699894</v>
      </c>
      <c r="L584" s="7">
        <f>ROUND(0.000590785673273168,4)</f>
        <v>5.9999999999999995E-4</v>
      </c>
    </row>
    <row r="585" spans="1:12">
      <c r="A585" s="3" t="s">
        <v>1249</v>
      </c>
      <c r="B585" s="4" t="s">
        <v>1250</v>
      </c>
      <c r="C585" s="4" t="s">
        <v>422</v>
      </c>
      <c r="D585" s="4" t="s">
        <v>407</v>
      </c>
      <c r="E585" s="4" t="s">
        <v>35</v>
      </c>
      <c r="F585" s="4" t="s">
        <v>21</v>
      </c>
      <c r="G585" s="4" t="s">
        <v>408</v>
      </c>
      <c r="H585" s="5">
        <f>ROUND(4529,0)</f>
        <v>4529</v>
      </c>
      <c r="I585" s="6">
        <f>ROUND(41.07,2)</f>
        <v>41.07</v>
      </c>
      <c r="J585" s="6">
        <f>ROUND(9.08595,2)</f>
        <v>9.09</v>
      </c>
      <c r="K585" s="5">
        <f>ROUND(1690041.49,0)</f>
        <v>1690041</v>
      </c>
      <c r="L585" s="7">
        <f>ROUND(0.000587361540346276,4)</f>
        <v>5.9999999999999995E-4</v>
      </c>
    </row>
    <row r="586" spans="1:12">
      <c r="A586" s="3" t="s">
        <v>1251</v>
      </c>
      <c r="B586" s="4" t="s">
        <v>1252</v>
      </c>
      <c r="C586" s="4" t="s">
        <v>400</v>
      </c>
      <c r="D586" s="4" t="s">
        <v>407</v>
      </c>
      <c r="E586" s="4" t="s">
        <v>35</v>
      </c>
      <c r="F586" s="4" t="s">
        <v>21</v>
      </c>
      <c r="G586" s="4" t="s">
        <v>408</v>
      </c>
      <c r="H586" s="5">
        <f>ROUND(2700,0)</f>
        <v>2700</v>
      </c>
      <c r="I586" s="6">
        <f>ROUND(68.8,2)</f>
        <v>68.8</v>
      </c>
      <c r="J586" s="6">
        <f>ROUND(9.08595,2)</f>
        <v>9.09</v>
      </c>
      <c r="K586" s="5">
        <f>ROUND(1687806.07,0)</f>
        <v>1687806</v>
      </c>
      <c r="L586" s="7">
        <f>ROUND(0.00058658463649966,4)</f>
        <v>5.9999999999999995E-4</v>
      </c>
    </row>
    <row r="587" spans="1:12">
      <c r="A587" s="3" t="s">
        <v>1253</v>
      </c>
      <c r="B587" s="4" t="s">
        <v>1254</v>
      </c>
      <c r="C587" s="4" t="s">
        <v>430</v>
      </c>
      <c r="D587" s="4" t="s">
        <v>514</v>
      </c>
      <c r="E587" s="4" t="s">
        <v>515</v>
      </c>
      <c r="F587" s="4" t="s">
        <v>190</v>
      </c>
      <c r="G587" s="4" t="s">
        <v>408</v>
      </c>
      <c r="H587" s="5">
        <f>ROUND(7633,0)</f>
        <v>7633</v>
      </c>
      <c r="I587" s="6">
        <f>ROUND(32.17,2)</f>
        <v>32.17</v>
      </c>
      <c r="J587" s="6">
        <f>ROUND(6.86237833,2)</f>
        <v>6.86</v>
      </c>
      <c r="K587" s="5">
        <f>ROUND(1685081.77,0)</f>
        <v>1685082</v>
      </c>
      <c r="L587" s="7">
        <f>ROUND(0.000585637825990076,4)</f>
        <v>5.9999999999999995E-4</v>
      </c>
    </row>
    <row r="588" spans="1:12">
      <c r="A588" s="3" t="s">
        <v>1255</v>
      </c>
      <c r="B588" s="4" t="s">
        <v>1256</v>
      </c>
      <c r="C588" s="4" t="s">
        <v>566</v>
      </c>
      <c r="D588" s="4" t="s">
        <v>423</v>
      </c>
      <c r="E588" s="4" t="s">
        <v>25</v>
      </c>
      <c r="F588" s="4" t="s">
        <v>16</v>
      </c>
      <c r="G588" s="4" t="s">
        <v>408</v>
      </c>
      <c r="H588" s="5">
        <f>ROUND(1884,0)</f>
        <v>1884</v>
      </c>
      <c r="I588" s="6">
        <f>ROUND(97.65,2)</f>
        <v>97.65</v>
      </c>
      <c r="J588" s="6">
        <f>ROUND(9.11185723,2)</f>
        <v>9.11</v>
      </c>
      <c r="K588" s="5">
        <f>ROUND(1676332.07,0)</f>
        <v>1676332</v>
      </c>
      <c r="L588" s="7">
        <f>ROUND(0.000582596931846366,4)</f>
        <v>5.9999999999999995E-4</v>
      </c>
    </row>
    <row r="589" spans="1:12">
      <c r="A589" s="3" t="s">
        <v>1257</v>
      </c>
      <c r="B589" s="4" t="s">
        <v>1258</v>
      </c>
      <c r="C589" s="4" t="s">
        <v>545</v>
      </c>
      <c r="D589" s="4" t="s">
        <v>401</v>
      </c>
      <c r="E589" s="4" t="s">
        <v>402</v>
      </c>
      <c r="F589" s="4" t="s">
        <v>403</v>
      </c>
      <c r="G589" s="4" t="s">
        <v>408</v>
      </c>
      <c r="H589" s="5">
        <f>ROUND(248000,0)</f>
        <v>248000</v>
      </c>
      <c r="I589" s="6">
        <f>ROUND(23,2)</f>
        <v>23</v>
      </c>
      <c r="J589" s="6">
        <f>ROUND(0.29286371,2)</f>
        <v>0.28999999999999998</v>
      </c>
      <c r="K589" s="5">
        <f>ROUND(1670494.6,0)</f>
        <v>1670495</v>
      </c>
      <c r="L589" s="7">
        <f>ROUND(0.000580568161907159,4)</f>
        <v>5.9999999999999995E-4</v>
      </c>
    </row>
    <row r="590" spans="1:12">
      <c r="A590" s="3" t="s">
        <v>1259</v>
      </c>
      <c r="B590" s="4" t="s">
        <v>1260</v>
      </c>
      <c r="C590" s="4" t="s">
        <v>400</v>
      </c>
      <c r="D590" s="4" t="s">
        <v>1221</v>
      </c>
      <c r="E590" s="4" t="s">
        <v>1222</v>
      </c>
      <c r="F590" s="4" t="s">
        <v>1223</v>
      </c>
      <c r="G590" s="4" t="s">
        <v>408</v>
      </c>
      <c r="H590" s="5">
        <f>ROUND(9900,0)</f>
        <v>9900</v>
      </c>
      <c r="I590" s="6">
        <f>ROUND(25.66,2)</f>
        <v>25.66</v>
      </c>
      <c r="J590" s="6">
        <f>ROUND(6.57015886,2)</f>
        <v>6.57</v>
      </c>
      <c r="K590" s="5">
        <f>ROUND(1669043.74,0)</f>
        <v>1669044</v>
      </c>
      <c r="L590" s="7">
        <f>ROUND(0.000580063926141665,4)</f>
        <v>5.9999999999999995E-4</v>
      </c>
    </row>
    <row r="591" spans="1:12">
      <c r="A591" s="3" t="s">
        <v>1261</v>
      </c>
      <c r="B591" s="4" t="s">
        <v>1262</v>
      </c>
      <c r="C591" s="4" t="s">
        <v>406</v>
      </c>
      <c r="D591" s="4" t="s">
        <v>407</v>
      </c>
      <c r="E591" s="4" t="s">
        <v>35</v>
      </c>
      <c r="F591" s="4" t="s">
        <v>21</v>
      </c>
      <c r="G591" s="4" t="s">
        <v>408</v>
      </c>
      <c r="H591" s="5">
        <f>ROUND(1900,0)</f>
        <v>1900</v>
      </c>
      <c r="I591" s="6">
        <f>ROUND(96.5,2)</f>
        <v>96.5</v>
      </c>
      <c r="J591" s="6">
        <f>ROUND(9.08595,2)</f>
        <v>9.09</v>
      </c>
      <c r="K591" s="5">
        <f>ROUND(1665908.93,0)</f>
        <v>1665909</v>
      </c>
      <c r="L591" s="7">
        <f>ROUND(0.000578974445888554,4)</f>
        <v>5.9999999999999995E-4</v>
      </c>
    </row>
    <row r="592" spans="1:12">
      <c r="A592" s="3" t="s">
        <v>1263</v>
      </c>
      <c r="B592" s="4" t="s">
        <v>1264</v>
      </c>
      <c r="C592" s="4" t="s">
        <v>400</v>
      </c>
      <c r="D592" s="4" t="s">
        <v>390</v>
      </c>
      <c r="E592" s="4" t="s">
        <v>391</v>
      </c>
      <c r="F592" s="4" t="s">
        <v>72</v>
      </c>
      <c r="G592" s="4" t="s">
        <v>408</v>
      </c>
      <c r="H592" s="5">
        <f>ROUND(2072,0)</f>
        <v>2072</v>
      </c>
      <c r="I592" s="6">
        <f>ROUND(131.08,2)</f>
        <v>131.08000000000001</v>
      </c>
      <c r="J592" s="6">
        <f>ROUND(6.12812423,2)</f>
        <v>6.13</v>
      </c>
      <c r="K592" s="5">
        <f>ROUND(1664384.81,0)</f>
        <v>1664385</v>
      </c>
      <c r="L592" s="7">
        <f>ROUND(0.000578444749146687,4)</f>
        <v>5.9999999999999995E-4</v>
      </c>
    </row>
    <row r="593" spans="1:12">
      <c r="A593" s="3" t="s">
        <v>1265</v>
      </c>
      <c r="B593" s="4" t="s">
        <v>1266</v>
      </c>
      <c r="C593" s="4" t="s">
        <v>534</v>
      </c>
      <c r="D593" s="4" t="s">
        <v>390</v>
      </c>
      <c r="E593" s="4" t="s">
        <v>391</v>
      </c>
      <c r="F593" s="4" t="s">
        <v>72</v>
      </c>
      <c r="G593" s="4" t="s">
        <v>408</v>
      </c>
      <c r="H593" s="5">
        <f>ROUND(23732,0)</f>
        <v>23732</v>
      </c>
      <c r="I593" s="6">
        <f>ROUND(11.4,2)</f>
        <v>11.4</v>
      </c>
      <c r="J593" s="6">
        <f>ROUND(6.12812423,2)</f>
        <v>6.13</v>
      </c>
      <c r="K593" s="5">
        <f>ROUND(1657932.14,0)</f>
        <v>1657932</v>
      </c>
      <c r="L593" s="7">
        <f>ROUND(0.000576202170953802,4)</f>
        <v>5.9999999999999995E-4</v>
      </c>
    </row>
    <row r="594" spans="1:12">
      <c r="A594" s="3" t="s">
        <v>1267</v>
      </c>
      <c r="B594" s="4" t="s">
        <v>1268</v>
      </c>
      <c r="C594" s="4" t="s">
        <v>406</v>
      </c>
      <c r="D594" s="4" t="s">
        <v>489</v>
      </c>
      <c r="E594" s="4" t="s">
        <v>490</v>
      </c>
      <c r="F594" s="4" t="s">
        <v>45</v>
      </c>
      <c r="G594" s="4" t="s">
        <v>408</v>
      </c>
      <c r="H594" s="5">
        <f>ROUND(3800,0)</f>
        <v>3800</v>
      </c>
      <c r="I594" s="6">
        <f>ROUND(5185,2)</f>
        <v>5185</v>
      </c>
      <c r="J594" s="6">
        <f>ROUND(8.407077,2)</f>
        <v>8.41</v>
      </c>
      <c r="K594" s="5">
        <f>ROUND(1656446.38,0)</f>
        <v>1656446</v>
      </c>
      <c r="L594" s="7">
        <f>ROUND(0.000575685805948949,4)</f>
        <v>5.9999999999999995E-4</v>
      </c>
    </row>
    <row r="595" spans="1:12">
      <c r="A595" s="3" t="s">
        <v>1269</v>
      </c>
      <c r="B595" s="4" t="s">
        <v>1270</v>
      </c>
      <c r="C595" s="4" t="s">
        <v>422</v>
      </c>
      <c r="D595" s="4" t="s">
        <v>407</v>
      </c>
      <c r="E595" s="4" t="s">
        <v>35</v>
      </c>
      <c r="F595" s="4" t="s">
        <v>21</v>
      </c>
      <c r="G595" s="4" t="s">
        <v>408</v>
      </c>
      <c r="H595" s="5">
        <f>ROUND(1200,0)</f>
        <v>1200</v>
      </c>
      <c r="I595" s="6">
        <f>ROUND(151.87,2)</f>
        <v>151.87</v>
      </c>
      <c r="J595" s="6">
        <f>ROUND(9.08595,2)</f>
        <v>9.09</v>
      </c>
      <c r="K595" s="5">
        <f>ROUND(1655859.87,0)</f>
        <v>1655860</v>
      </c>
      <c r="L595" s="7">
        <f>ROUND(0.000575481968694617,4)</f>
        <v>5.9999999999999995E-4</v>
      </c>
    </row>
    <row r="596" spans="1:12">
      <c r="A596" s="3" t="s">
        <v>1271</v>
      </c>
      <c r="B596" s="4" t="s">
        <v>1272</v>
      </c>
      <c r="C596" s="4" t="s">
        <v>445</v>
      </c>
      <c r="D596" s="4" t="s">
        <v>489</v>
      </c>
      <c r="E596" s="4" t="s">
        <v>490</v>
      </c>
      <c r="F596" s="4" t="s">
        <v>45</v>
      </c>
      <c r="G596" s="4" t="s">
        <v>408</v>
      </c>
      <c r="H596" s="5">
        <f>ROUND(12800,0)</f>
        <v>12800</v>
      </c>
      <c r="I596" s="6">
        <f>ROUND(1538.5,2)</f>
        <v>1538.5</v>
      </c>
      <c r="J596" s="6">
        <f>ROUND(8.407077,2)</f>
        <v>8.41</v>
      </c>
      <c r="K596" s="5">
        <f>ROUND(1655588.86,0)</f>
        <v>1655589</v>
      </c>
      <c r="L596" s="7">
        <f>ROUND(0.000575387781154257,4)</f>
        <v>5.9999999999999995E-4</v>
      </c>
    </row>
    <row r="597" spans="1:12">
      <c r="A597" s="3" t="s">
        <v>1273</v>
      </c>
      <c r="B597" s="4" t="s">
        <v>1274</v>
      </c>
      <c r="C597" s="4" t="s">
        <v>406</v>
      </c>
      <c r="D597" s="4" t="s">
        <v>723</v>
      </c>
      <c r="E597" s="4" t="s">
        <v>724</v>
      </c>
      <c r="F597" s="4" t="s">
        <v>18</v>
      </c>
      <c r="G597" s="4" t="s">
        <v>408</v>
      </c>
      <c r="H597" s="5">
        <f>ROUND(2543,0)</f>
        <v>2543</v>
      </c>
      <c r="I597" s="6">
        <f>ROUND(65.72,2)</f>
        <v>65.72</v>
      </c>
      <c r="J597" s="6">
        <f>ROUND(9.9055,2)</f>
        <v>9.91</v>
      </c>
      <c r="K597" s="5">
        <f>ROUND(1655466.2,0)</f>
        <v>1655466</v>
      </c>
      <c r="L597" s="7">
        <f>ROUND(0.000575345151569738,4)</f>
        <v>5.9999999999999995E-4</v>
      </c>
    </row>
    <row r="598" spans="1:12">
      <c r="A598" s="3" t="s">
        <v>1275</v>
      </c>
      <c r="B598" s="4" t="s">
        <v>1276</v>
      </c>
      <c r="C598" s="4" t="s">
        <v>493</v>
      </c>
      <c r="D598" s="4" t="s">
        <v>552</v>
      </c>
      <c r="E598" s="4" t="s">
        <v>553</v>
      </c>
      <c r="F598" s="4" t="s">
        <v>26</v>
      </c>
      <c r="G598" s="4" t="s">
        <v>408</v>
      </c>
      <c r="H598" s="5">
        <f>ROUND(93170,0)</f>
        <v>93170</v>
      </c>
      <c r="I598" s="6">
        <f>ROUND(15.28,2)</f>
        <v>15.28</v>
      </c>
      <c r="J598" s="6">
        <f>ROUND(1.15901246,2)</f>
        <v>1.1599999999999999</v>
      </c>
      <c r="K598" s="5">
        <f>ROUND(1650013.72,0)</f>
        <v>1650014</v>
      </c>
      <c r="L598" s="7">
        <f>ROUND(0.00057345018208499,4)</f>
        <v>5.9999999999999995E-4</v>
      </c>
    </row>
    <row r="599" spans="1:12">
      <c r="A599" s="3" t="s">
        <v>1277</v>
      </c>
      <c r="B599" s="4" t="s">
        <v>1278</v>
      </c>
      <c r="C599" s="4" t="s">
        <v>534</v>
      </c>
      <c r="D599" s="4" t="s">
        <v>1024</v>
      </c>
      <c r="E599" s="4" t="s">
        <v>1025</v>
      </c>
      <c r="F599" s="4" t="s">
        <v>1026</v>
      </c>
      <c r="G599" s="4" t="s">
        <v>408</v>
      </c>
      <c r="H599" s="5">
        <f>ROUND(8146,0)</f>
        <v>8146</v>
      </c>
      <c r="I599" s="6">
        <f>ROUND(219.1,2)</f>
        <v>219.1</v>
      </c>
      <c r="J599" s="6">
        <f>ROUND(0.92410673,2)</f>
        <v>0.92</v>
      </c>
      <c r="K599" s="5">
        <f>ROUND(1649335.16,0)</f>
        <v>1649335</v>
      </c>
      <c r="L599" s="7">
        <f>ROUND(0.000573214353527422,4)</f>
        <v>5.9999999999999995E-4</v>
      </c>
    </row>
    <row r="600" spans="1:12">
      <c r="A600" s="3" t="s">
        <v>1279</v>
      </c>
      <c r="B600" s="4" t="s">
        <v>1280</v>
      </c>
      <c r="C600" s="4" t="s">
        <v>534</v>
      </c>
      <c r="D600" s="4" t="s">
        <v>541</v>
      </c>
      <c r="E600" s="4" t="s">
        <v>542</v>
      </c>
      <c r="F600" s="4" t="s">
        <v>18</v>
      </c>
      <c r="G600" s="4" t="s">
        <v>408</v>
      </c>
      <c r="H600" s="5">
        <f>ROUND(682,0)</f>
        <v>682</v>
      </c>
      <c r="I600" s="6">
        <f>ROUND(243.8,2)</f>
        <v>243.8</v>
      </c>
      <c r="J600" s="6">
        <f>ROUND(9.9055,2)</f>
        <v>9.91</v>
      </c>
      <c r="K600" s="5">
        <f>ROUND(1647003.33,0)</f>
        <v>1647003</v>
      </c>
      <c r="L600" s="7">
        <f>ROUND(0.000572403943091507,4)</f>
        <v>5.9999999999999995E-4</v>
      </c>
    </row>
    <row r="601" spans="1:12">
      <c r="A601" s="3" t="s">
        <v>1281</v>
      </c>
      <c r="B601" s="4" t="s">
        <v>1282</v>
      </c>
      <c r="C601" s="4" t="s">
        <v>389</v>
      </c>
      <c r="D601" s="4" t="s">
        <v>520</v>
      </c>
      <c r="E601" s="4" t="s">
        <v>521</v>
      </c>
      <c r="F601" s="4" t="s">
        <v>18</v>
      </c>
      <c r="G601" s="4" t="s">
        <v>408</v>
      </c>
      <c r="H601" s="5">
        <f>ROUND(259,0)</f>
        <v>259</v>
      </c>
      <c r="I601" s="6">
        <f>ROUND(634,2)</f>
        <v>634</v>
      </c>
      <c r="J601" s="6">
        <f>ROUND(9.9055,2)</f>
        <v>9.91</v>
      </c>
      <c r="K601" s="5">
        <f>ROUND(1626542.53,0)</f>
        <v>1626543</v>
      </c>
      <c r="L601" s="7">
        <f>ROUND(0.000565292941926253,4)</f>
        <v>5.9999999999999995E-4</v>
      </c>
    </row>
    <row r="602" spans="1:12">
      <c r="A602" s="3" t="s">
        <v>1283</v>
      </c>
      <c r="B602" s="4" t="s">
        <v>1284</v>
      </c>
      <c r="C602" s="4" t="s">
        <v>389</v>
      </c>
      <c r="D602" s="4" t="s">
        <v>407</v>
      </c>
      <c r="E602" s="4" t="s">
        <v>35</v>
      </c>
      <c r="F602" s="4" t="s">
        <v>21</v>
      </c>
      <c r="G602" s="4" t="s">
        <v>408</v>
      </c>
      <c r="H602" s="5">
        <f>ROUND(164,0)</f>
        <v>164</v>
      </c>
      <c r="I602" s="6">
        <f>ROUND(1084.62,2)</f>
        <v>1084.6199999999999</v>
      </c>
      <c r="J602" s="6">
        <f>ROUND(9.08595,2)</f>
        <v>9.09</v>
      </c>
      <c r="K602" s="5">
        <f>ROUND(1616187.71,0)</f>
        <v>1616188</v>
      </c>
      <c r="L602" s="7">
        <f>ROUND(0.000561694200083999,4)</f>
        <v>5.9999999999999995E-4</v>
      </c>
    </row>
    <row r="603" spans="1:12">
      <c r="A603" s="3" t="s">
        <v>1285</v>
      </c>
      <c r="B603" s="4" t="s">
        <v>1286</v>
      </c>
      <c r="C603" s="4" t="s">
        <v>389</v>
      </c>
      <c r="D603" s="4" t="s">
        <v>456</v>
      </c>
      <c r="E603" s="4" t="s">
        <v>457</v>
      </c>
      <c r="F603" s="4" t="s">
        <v>26</v>
      </c>
      <c r="G603" s="4" t="s">
        <v>408</v>
      </c>
      <c r="H603" s="5">
        <f>ROUND(13600,0)</f>
        <v>13600</v>
      </c>
      <c r="I603" s="6">
        <f>ROUND(102.4,2)</f>
        <v>102.4</v>
      </c>
      <c r="J603" s="6">
        <f>ROUND(1.15901246,2)</f>
        <v>1.1599999999999999</v>
      </c>
      <c r="K603" s="5">
        <f>ROUND(1614087.11,0)</f>
        <v>1614087</v>
      </c>
      <c r="L603" s="7">
        <f>ROUND(0.000560964151940831,4)</f>
        <v>5.9999999999999995E-4</v>
      </c>
    </row>
    <row r="604" spans="1:12">
      <c r="A604" s="3" t="s">
        <v>1287</v>
      </c>
      <c r="B604" s="4" t="s">
        <v>1288</v>
      </c>
      <c r="C604" s="4" t="s">
        <v>534</v>
      </c>
      <c r="D604" s="4" t="s">
        <v>739</v>
      </c>
      <c r="E604" s="4" t="s">
        <v>740</v>
      </c>
      <c r="F604" s="4" t="s">
        <v>741</v>
      </c>
      <c r="G604" s="4" t="s">
        <v>408</v>
      </c>
      <c r="H604" s="5">
        <f>ROUND(2363,0)</f>
        <v>2363</v>
      </c>
      <c r="I604" s="6">
        <f>ROUND(89700,2)</f>
        <v>89700</v>
      </c>
      <c r="J604" s="6">
        <f>ROUND(0.00759599,2)</f>
        <v>0.01</v>
      </c>
      <c r="K604" s="5">
        <f>ROUND(1610054.4,0)</f>
        <v>1610054</v>
      </c>
      <c r="L604" s="7">
        <f>ROUND(0.000559562613119811,4)</f>
        <v>5.9999999999999995E-4</v>
      </c>
    </row>
    <row r="605" spans="1:12">
      <c r="A605" s="3" t="s">
        <v>1289</v>
      </c>
      <c r="B605" s="4" t="s">
        <v>1290</v>
      </c>
      <c r="C605" s="4" t="s">
        <v>400</v>
      </c>
      <c r="D605" s="4" t="s">
        <v>395</v>
      </c>
      <c r="E605" s="4" t="s">
        <v>396</v>
      </c>
      <c r="F605" s="4" t="s">
        <v>397</v>
      </c>
      <c r="G605" s="4" t="s">
        <v>408</v>
      </c>
      <c r="H605" s="5">
        <f>ROUND(16838,0)</f>
        <v>16838</v>
      </c>
      <c r="I605" s="6">
        <f>ROUND(43.63,2)</f>
        <v>43.63</v>
      </c>
      <c r="J605" s="6">
        <f>ROUND(2.18129969,2)</f>
        <v>2.1800000000000002</v>
      </c>
      <c r="K605" s="5">
        <f>ROUND(1602474.24,0)</f>
        <v>1602474</v>
      </c>
      <c r="L605" s="7">
        <f>ROUND(0.000556928184036256,4)</f>
        <v>5.9999999999999995E-4</v>
      </c>
    </row>
    <row r="606" spans="1:12">
      <c r="A606" s="3" t="s">
        <v>1291</v>
      </c>
      <c r="B606" s="4" t="s">
        <v>1292</v>
      </c>
      <c r="C606" s="4" t="s">
        <v>534</v>
      </c>
      <c r="D606" s="4" t="s">
        <v>395</v>
      </c>
      <c r="E606" s="4" t="s">
        <v>396</v>
      </c>
      <c r="F606" s="4" t="s">
        <v>397</v>
      </c>
      <c r="G606" s="4" t="s">
        <v>408</v>
      </c>
      <c r="H606" s="5">
        <f>ROUND(29940,0)</f>
        <v>29940</v>
      </c>
      <c r="I606" s="6">
        <f>ROUND(24.5,2)</f>
        <v>24.5</v>
      </c>
      <c r="J606" s="6">
        <f>ROUND(2.18129969,2)</f>
        <v>2.1800000000000002</v>
      </c>
      <c r="K606" s="5">
        <f>ROUND(1600048.76,0)</f>
        <v>1600049</v>
      </c>
      <c r="L606" s="7">
        <f>ROUND(0.000556085226228824,4)</f>
        <v>5.9999999999999995E-4</v>
      </c>
    </row>
    <row r="607" spans="1:12">
      <c r="A607" s="3" t="s">
        <v>1293</v>
      </c>
      <c r="B607" s="4" t="s">
        <v>1294</v>
      </c>
      <c r="C607" s="4" t="s">
        <v>415</v>
      </c>
      <c r="D607" s="4" t="s">
        <v>407</v>
      </c>
      <c r="E607" s="4" t="s">
        <v>35</v>
      </c>
      <c r="F607" s="4" t="s">
        <v>21</v>
      </c>
      <c r="G607" s="4" t="s">
        <v>408</v>
      </c>
      <c r="H607" s="5">
        <f>ROUND(1800,0)</f>
        <v>1800</v>
      </c>
      <c r="I607" s="6">
        <f>ROUND(97.82,2)</f>
        <v>97.82</v>
      </c>
      <c r="J607" s="6">
        <f>ROUND(9.08595,2)</f>
        <v>9.09</v>
      </c>
      <c r="K607" s="5">
        <f>ROUND(1599817.73,0)</f>
        <v>1599818</v>
      </c>
      <c r="L607" s="7">
        <f>ROUND(0.000556004933444612,4)</f>
        <v>5.9999999999999995E-4</v>
      </c>
    </row>
    <row r="608" spans="1:12">
      <c r="A608" s="3" t="s">
        <v>1295</v>
      </c>
      <c r="B608" s="4" t="s">
        <v>1296</v>
      </c>
      <c r="C608" s="4" t="s">
        <v>400</v>
      </c>
      <c r="D608" s="4" t="s">
        <v>489</v>
      </c>
      <c r="E608" s="4" t="s">
        <v>490</v>
      </c>
      <c r="F608" s="4" t="s">
        <v>45</v>
      </c>
      <c r="G608" s="4" t="s">
        <v>408</v>
      </c>
      <c r="H608" s="5">
        <f>ROUND(11800,0)</f>
        <v>11800</v>
      </c>
      <c r="I608" s="6">
        <f>ROUND(1611,2)</f>
        <v>1611</v>
      </c>
      <c r="J608" s="6">
        <f>ROUND(8.407077,2)</f>
        <v>8.41</v>
      </c>
      <c r="K608" s="5">
        <f>ROUND(1598168.52,0)</f>
        <v>1598169</v>
      </c>
      <c r="L608" s="7">
        <f>ROUND(0.000555431762589526,4)</f>
        <v>5.9999999999999995E-4</v>
      </c>
    </row>
    <row r="609" spans="1:12">
      <c r="A609" s="3" t="s">
        <v>1297</v>
      </c>
      <c r="B609" s="4" t="s">
        <v>1298</v>
      </c>
      <c r="C609" s="4" t="s">
        <v>445</v>
      </c>
      <c r="D609" s="4" t="s">
        <v>623</v>
      </c>
      <c r="E609" s="4" t="s">
        <v>624</v>
      </c>
      <c r="F609" s="4" t="s">
        <v>18</v>
      </c>
      <c r="G609" s="4" t="s">
        <v>408</v>
      </c>
      <c r="H609" s="5">
        <f>ROUND(2415,0)</f>
        <v>2415</v>
      </c>
      <c r="I609" s="6">
        <f>ROUND(66.6,2)</f>
        <v>66.599999999999994</v>
      </c>
      <c r="J609" s="6">
        <f>ROUND(9.9055,2)</f>
        <v>9.91</v>
      </c>
      <c r="K609" s="5">
        <f>ROUND(1593190.71,0)</f>
        <v>1593191</v>
      </c>
      <c r="L609" s="7">
        <f>ROUND(0.000553701761186334,4)</f>
        <v>5.9999999999999995E-4</v>
      </c>
    </row>
    <row r="610" spans="1:12">
      <c r="A610" s="3" t="s">
        <v>1299</v>
      </c>
      <c r="B610" s="4" t="s">
        <v>1300</v>
      </c>
      <c r="C610" s="4" t="s">
        <v>566</v>
      </c>
      <c r="D610" s="4" t="s">
        <v>407</v>
      </c>
      <c r="E610" s="4" t="s">
        <v>35</v>
      </c>
      <c r="F610" s="4" t="s">
        <v>21</v>
      </c>
      <c r="G610" s="4" t="s">
        <v>408</v>
      </c>
      <c r="H610" s="5">
        <f>ROUND(2400,0)</f>
        <v>2400</v>
      </c>
      <c r="I610" s="6">
        <f>ROUND(73.03,2)</f>
        <v>73.03</v>
      </c>
      <c r="J610" s="6">
        <f>ROUND(9.08595,2)</f>
        <v>9.09</v>
      </c>
      <c r="K610" s="5">
        <f>ROUND(1592512.63,0)</f>
        <v>1592513</v>
      </c>
      <c r="L610" s="7">
        <f>ROUND(0.00055346609944925,4)</f>
        <v>5.9999999999999995E-4</v>
      </c>
    </row>
    <row r="611" spans="1:12">
      <c r="A611" s="3" t="s">
        <v>1301</v>
      </c>
      <c r="B611" s="4" t="s">
        <v>1302</v>
      </c>
      <c r="C611" s="4" t="s">
        <v>400</v>
      </c>
      <c r="D611" s="4" t="s">
        <v>1024</v>
      </c>
      <c r="E611" s="4" t="s">
        <v>1025</v>
      </c>
      <c r="F611" s="4" t="s">
        <v>1026</v>
      </c>
      <c r="G611" s="4" t="s">
        <v>408</v>
      </c>
      <c r="H611" s="5">
        <f>ROUND(3573,0)</f>
        <v>3573</v>
      </c>
      <c r="I611" s="6">
        <f>ROUND(481.1,2)</f>
        <v>481.1</v>
      </c>
      <c r="J611" s="6">
        <f>ROUND(0.92410673,2)</f>
        <v>0.92</v>
      </c>
      <c r="K611" s="5">
        <f>ROUND(1588512.02,0)</f>
        <v>1588512</v>
      </c>
      <c r="L611" s="7">
        <f>ROUND(0.000552075716748098,4)</f>
        <v>5.9999999999999995E-4</v>
      </c>
    </row>
    <row r="612" spans="1:12">
      <c r="A612" s="3" t="s">
        <v>1303</v>
      </c>
      <c r="B612" s="4" t="s">
        <v>1304</v>
      </c>
      <c r="C612" s="4" t="s">
        <v>400</v>
      </c>
      <c r="D612" s="4" t="s">
        <v>423</v>
      </c>
      <c r="E612" s="4" t="s">
        <v>25</v>
      </c>
      <c r="F612" s="4" t="s">
        <v>16</v>
      </c>
      <c r="G612" s="4" t="s">
        <v>408</v>
      </c>
      <c r="H612" s="5">
        <f>ROUND(363,0)</f>
        <v>363</v>
      </c>
      <c r="I612" s="6">
        <f>ROUND(477.1,2)</f>
        <v>477.1</v>
      </c>
      <c r="J612" s="6">
        <f>ROUND(9.11185723,2)</f>
        <v>9.11</v>
      </c>
      <c r="K612" s="5">
        <f>ROUND(1578057.95,0)</f>
        <v>1578058</v>
      </c>
      <c r="L612" s="7">
        <f>ROUND(0.000548442481295348,4)</f>
        <v>5.0000000000000001E-4</v>
      </c>
    </row>
    <row r="613" spans="1:12">
      <c r="A613" s="3" t="s">
        <v>1305</v>
      </c>
      <c r="B613" s="4" t="s">
        <v>1306</v>
      </c>
      <c r="C613" s="4" t="s">
        <v>406</v>
      </c>
      <c r="D613" s="4" t="s">
        <v>789</v>
      </c>
      <c r="E613" s="4" t="s">
        <v>790</v>
      </c>
      <c r="F613" s="4" t="s">
        <v>791</v>
      </c>
      <c r="G613" s="4" t="s">
        <v>408</v>
      </c>
      <c r="H613" s="5">
        <f>ROUND(5836,0)</f>
        <v>5836</v>
      </c>
      <c r="I613" s="6">
        <f>ROUND(2099.3,2)</f>
        <v>2099.3000000000002</v>
      </c>
      <c r="J613" s="6">
        <f>ROUND(0.12820804,2)</f>
        <v>0.13</v>
      </c>
      <c r="K613" s="5">
        <f>ROUND(1570742.7,0)</f>
        <v>1570743</v>
      </c>
      <c r="L613" s="7">
        <f>ROUND(0.000545900119741834,4)</f>
        <v>5.0000000000000001E-4</v>
      </c>
    </row>
    <row r="614" spans="1:12">
      <c r="A614" s="3" t="s">
        <v>1307</v>
      </c>
      <c r="B614" s="4" t="s">
        <v>1308</v>
      </c>
      <c r="C614" s="4" t="s">
        <v>534</v>
      </c>
      <c r="D614" s="4" t="s">
        <v>489</v>
      </c>
      <c r="E614" s="4" t="s">
        <v>490</v>
      </c>
      <c r="F614" s="4" t="s">
        <v>45</v>
      </c>
      <c r="G614" s="4" t="s">
        <v>408</v>
      </c>
      <c r="H614" s="5">
        <f>ROUND(26000,0)</f>
        <v>26000</v>
      </c>
      <c r="I614" s="6">
        <f>ROUND(717.7,2)</f>
        <v>717.7</v>
      </c>
      <c r="J614" s="6">
        <f>ROUND(8.407077,2)</f>
        <v>8.41</v>
      </c>
      <c r="K614" s="5">
        <f>ROUND(1568777.38,0)</f>
        <v>1568777</v>
      </c>
      <c r="L614" s="7">
        <f>ROUND(0.000545217087171744,4)</f>
        <v>5.0000000000000001E-4</v>
      </c>
    </row>
    <row r="615" spans="1:12">
      <c r="A615" s="3" t="s">
        <v>1309</v>
      </c>
      <c r="B615" s="4" t="s">
        <v>1310</v>
      </c>
      <c r="C615" s="4" t="s">
        <v>400</v>
      </c>
      <c r="D615" s="4" t="s">
        <v>486</v>
      </c>
      <c r="E615" s="4" t="s">
        <v>30</v>
      </c>
      <c r="F615" s="4" t="s">
        <v>20</v>
      </c>
      <c r="G615" s="4" t="s">
        <v>408</v>
      </c>
      <c r="H615" s="5">
        <f>ROUND(92597,0)</f>
        <v>92597</v>
      </c>
      <c r="I615" s="6">
        <f>ROUND(150.4,2)</f>
        <v>150.4</v>
      </c>
      <c r="J615" s="6">
        <f>ROUND(11.19645077,2)</f>
        <v>11.2</v>
      </c>
      <c r="K615" s="5">
        <f>ROUND(1559283.68,0)</f>
        <v>1559284</v>
      </c>
      <c r="L615" s="7">
        <f>ROUND(0.000541917621277812,4)</f>
        <v>5.0000000000000001E-4</v>
      </c>
    </row>
    <row r="616" spans="1:12">
      <c r="A616" s="3" t="s">
        <v>1311</v>
      </c>
      <c r="B616" s="4" t="s">
        <v>1312</v>
      </c>
      <c r="C616" s="4" t="s">
        <v>445</v>
      </c>
      <c r="D616" s="4" t="s">
        <v>407</v>
      </c>
      <c r="E616" s="4" t="s">
        <v>35</v>
      </c>
      <c r="F616" s="4" t="s">
        <v>21</v>
      </c>
      <c r="G616" s="4" t="s">
        <v>408</v>
      </c>
      <c r="H616" s="5">
        <f>ROUND(618,0)</f>
        <v>618</v>
      </c>
      <c r="I616" s="6">
        <f>ROUND(277.4,2)</f>
        <v>277.39999999999998</v>
      </c>
      <c r="J616" s="6">
        <f>ROUND(9.08595,2)</f>
        <v>9.09</v>
      </c>
      <c r="K616" s="5">
        <f>ROUND(1557633.48,0)</f>
        <v>1557633</v>
      </c>
      <c r="L616" s="7">
        <f>ROUND(0.000541344106355478,4)</f>
        <v>5.0000000000000001E-4</v>
      </c>
    </row>
    <row r="617" spans="1:12">
      <c r="A617" s="3" t="s">
        <v>1313</v>
      </c>
      <c r="B617" s="4" t="s">
        <v>1314</v>
      </c>
      <c r="C617" s="4" t="s">
        <v>389</v>
      </c>
      <c r="D617" s="4" t="s">
        <v>407</v>
      </c>
      <c r="E617" s="4" t="s">
        <v>35</v>
      </c>
      <c r="F617" s="4" t="s">
        <v>21</v>
      </c>
      <c r="G617" s="4" t="s">
        <v>408</v>
      </c>
      <c r="H617" s="5">
        <f>ROUND(311,0)</f>
        <v>311</v>
      </c>
      <c r="I617" s="6">
        <f>ROUND(551.23,2)</f>
        <v>551.23</v>
      </c>
      <c r="J617" s="6">
        <f>ROUND(9.08595,2)</f>
        <v>9.09</v>
      </c>
      <c r="K617" s="5">
        <f>ROUND(1557627.4,0)</f>
        <v>1557627</v>
      </c>
      <c r="L617" s="7">
        <f>ROUND(0.000541341993296014,4)</f>
        <v>5.0000000000000001E-4</v>
      </c>
    </row>
    <row r="618" spans="1:12">
      <c r="A618" s="3" t="s">
        <v>1315</v>
      </c>
      <c r="B618" s="4" t="s">
        <v>1316</v>
      </c>
      <c r="C618" s="4" t="s">
        <v>545</v>
      </c>
      <c r="D618" s="4" t="s">
        <v>739</v>
      </c>
      <c r="E618" s="4" t="s">
        <v>740</v>
      </c>
      <c r="F618" s="4" t="s">
        <v>741</v>
      </c>
      <c r="G618" s="4" t="s">
        <v>408</v>
      </c>
      <c r="H618" s="5">
        <f>ROUND(682,0)</f>
        <v>682</v>
      </c>
      <c r="I618" s="6">
        <f>ROUND(299500,2)</f>
        <v>299500</v>
      </c>
      <c r="J618" s="6">
        <f>ROUND(0.00759599,2)</f>
        <v>0.01</v>
      </c>
      <c r="K618" s="5">
        <f>ROUND(1551549.32,0)</f>
        <v>1551549</v>
      </c>
      <c r="L618" s="7">
        <f>ROUND(0.000539229601113767,4)</f>
        <v>5.0000000000000001E-4</v>
      </c>
    </row>
    <row r="619" spans="1:12">
      <c r="A619" s="3" t="s">
        <v>1317</v>
      </c>
      <c r="B619" s="4" t="s">
        <v>1318</v>
      </c>
      <c r="C619" s="4" t="s">
        <v>534</v>
      </c>
      <c r="D619" s="4" t="s">
        <v>489</v>
      </c>
      <c r="E619" s="4" t="s">
        <v>490</v>
      </c>
      <c r="F619" s="4" t="s">
        <v>45</v>
      </c>
      <c r="G619" s="4" t="s">
        <v>408</v>
      </c>
      <c r="H619" s="5">
        <f>ROUND(400,0)</f>
        <v>400</v>
      </c>
      <c r="I619" s="6">
        <f>ROUND(46100,2)</f>
        <v>46100</v>
      </c>
      <c r="J619" s="6">
        <f>ROUND(8.407077,2)</f>
        <v>8.41</v>
      </c>
      <c r="K619" s="5">
        <f>ROUND(1550265,0)</f>
        <v>1550265</v>
      </c>
      <c r="L619" s="7">
        <f>ROUND(0.000538783245105373,4)</f>
        <v>5.0000000000000001E-4</v>
      </c>
    </row>
    <row r="620" spans="1:12">
      <c r="A620" s="3" t="s">
        <v>1319</v>
      </c>
      <c r="B620" s="4" t="s">
        <v>1320</v>
      </c>
      <c r="C620" s="4" t="s">
        <v>422</v>
      </c>
      <c r="D620" s="4" t="s">
        <v>407</v>
      </c>
      <c r="E620" s="4" t="s">
        <v>35</v>
      </c>
      <c r="F620" s="4" t="s">
        <v>21</v>
      </c>
      <c r="G620" s="4" t="s">
        <v>408</v>
      </c>
      <c r="H620" s="5">
        <f>ROUND(1100,0)</f>
        <v>1100</v>
      </c>
      <c r="I620" s="6">
        <f>ROUND(154.99,2)</f>
        <v>154.99</v>
      </c>
      <c r="J620" s="6">
        <f>ROUND(9.08595,2)</f>
        <v>9.09</v>
      </c>
      <c r="K620" s="5">
        <f>ROUND(1549054.53,0)</f>
        <v>1549055</v>
      </c>
      <c r="L620" s="7">
        <f>ROUND(0.000538362555123529,4)</f>
        <v>5.0000000000000001E-4</v>
      </c>
    </row>
    <row r="621" spans="1:12">
      <c r="A621" s="3" t="s">
        <v>1321</v>
      </c>
      <c r="B621" s="4" t="s">
        <v>1322</v>
      </c>
      <c r="C621" s="4" t="s">
        <v>445</v>
      </c>
      <c r="D621" s="4" t="s">
        <v>541</v>
      </c>
      <c r="E621" s="4" t="s">
        <v>542</v>
      </c>
      <c r="F621" s="4" t="s">
        <v>18</v>
      </c>
      <c r="G621" s="4" t="s">
        <v>408</v>
      </c>
      <c r="H621" s="5">
        <f>ROUND(1512,0)</f>
        <v>1512</v>
      </c>
      <c r="I621" s="6">
        <f>ROUND(103.35,2)</f>
        <v>103.35</v>
      </c>
      <c r="J621" s="6">
        <f>ROUND(9.9055,2)</f>
        <v>9.91</v>
      </c>
      <c r="K621" s="5">
        <f>ROUND(1547884.94,0)</f>
        <v>1547885</v>
      </c>
      <c r="L621" s="7">
        <f>ROUND(0.000537956072686241,4)</f>
        <v>5.0000000000000001E-4</v>
      </c>
    </row>
    <row r="622" spans="1:12">
      <c r="A622" s="3" t="s">
        <v>1323</v>
      </c>
      <c r="B622" s="4" t="s">
        <v>1324</v>
      </c>
      <c r="C622" s="4" t="s">
        <v>415</v>
      </c>
      <c r="D622" s="4" t="s">
        <v>407</v>
      </c>
      <c r="E622" s="4" t="s">
        <v>35</v>
      </c>
      <c r="F622" s="4" t="s">
        <v>21</v>
      </c>
      <c r="G622" s="4" t="s">
        <v>408</v>
      </c>
      <c r="H622" s="5">
        <f>ROUND(2162,0)</f>
        <v>2162</v>
      </c>
      <c r="I622" s="6">
        <f>ROUND(78.77,2)</f>
        <v>78.77</v>
      </c>
      <c r="J622" s="6">
        <f>ROUND(9.08595,2)</f>
        <v>9.09</v>
      </c>
      <c r="K622" s="5">
        <f>ROUND(1547344.01,0)</f>
        <v>1547344</v>
      </c>
      <c r="L622" s="7">
        <f>ROUND(0.000537768076427037,4)</f>
        <v>5.0000000000000001E-4</v>
      </c>
    </row>
    <row r="623" spans="1:12">
      <c r="A623" s="3" t="s">
        <v>1325</v>
      </c>
      <c r="B623" s="4" t="s">
        <v>1326</v>
      </c>
      <c r="C623" s="4" t="s">
        <v>415</v>
      </c>
      <c r="D623" s="4" t="s">
        <v>1119</v>
      </c>
      <c r="E623" s="4" t="s">
        <v>1120</v>
      </c>
      <c r="F623" s="4" t="s">
        <v>95</v>
      </c>
      <c r="G623" s="4" t="s">
        <v>408</v>
      </c>
      <c r="H623" s="5">
        <f>ROUND(229522,0)</f>
        <v>229522</v>
      </c>
      <c r="I623" s="6">
        <f>ROUND(14.64,2)</f>
        <v>14.64</v>
      </c>
      <c r="J623" s="6">
        <f>ROUND(0.4601869,2)</f>
        <v>0.46</v>
      </c>
      <c r="K623" s="5">
        <f>ROUND(1546320.98,0)</f>
        <v>1546321</v>
      </c>
      <c r="L623" s="7">
        <f>ROUND(0.000537412529844201,4)</f>
        <v>5.0000000000000001E-4</v>
      </c>
    </row>
    <row r="624" spans="1:12">
      <c r="A624" s="3" t="s">
        <v>1327</v>
      </c>
      <c r="B624" s="4" t="s">
        <v>1328</v>
      </c>
      <c r="C624" s="4" t="s">
        <v>400</v>
      </c>
      <c r="D624" s="4" t="s">
        <v>407</v>
      </c>
      <c r="E624" s="4" t="s">
        <v>35</v>
      </c>
      <c r="F624" s="4" t="s">
        <v>21</v>
      </c>
      <c r="G624" s="4" t="s">
        <v>408</v>
      </c>
      <c r="H624" s="5">
        <f>ROUND(3301,0)</f>
        <v>3301</v>
      </c>
      <c r="I624" s="6">
        <f>ROUND(51.48,2)</f>
        <v>51.48</v>
      </c>
      <c r="J624" s="6">
        <f>ROUND(9.08595,2)</f>
        <v>9.09</v>
      </c>
      <c r="K624" s="5">
        <f>ROUND(1544025.27,0)</f>
        <v>1544025</v>
      </c>
      <c r="L624" s="7">
        <f>ROUND(0.000536614672649708,4)</f>
        <v>5.0000000000000001E-4</v>
      </c>
    </row>
    <row r="625" spans="1:12">
      <c r="A625" s="3" t="s">
        <v>1329</v>
      </c>
      <c r="B625" s="4" t="s">
        <v>1330</v>
      </c>
      <c r="C625" s="4" t="s">
        <v>389</v>
      </c>
      <c r="D625" s="4" t="s">
        <v>407</v>
      </c>
      <c r="E625" s="4" t="s">
        <v>35</v>
      </c>
      <c r="F625" s="4" t="s">
        <v>21</v>
      </c>
      <c r="G625" s="4" t="s">
        <v>408</v>
      </c>
      <c r="H625" s="5">
        <f>ROUND(3725,0)</f>
        <v>3725</v>
      </c>
      <c r="I625" s="6">
        <f>ROUND(45.43,2)</f>
        <v>45.43</v>
      </c>
      <c r="J625" s="6">
        <f>ROUND(9.08595,2)</f>
        <v>9.09</v>
      </c>
      <c r="K625" s="5">
        <f>ROUND(1537585.79,0)</f>
        <v>1537586</v>
      </c>
      <c r="L625" s="7">
        <f>ROUND(0.000534376678544706,4)</f>
        <v>5.0000000000000001E-4</v>
      </c>
    </row>
    <row r="626" spans="1:12">
      <c r="A626" s="3" t="s">
        <v>1331</v>
      </c>
      <c r="B626" s="4" t="s">
        <v>1332</v>
      </c>
      <c r="C626" s="4" t="s">
        <v>400</v>
      </c>
      <c r="D626" s="4" t="s">
        <v>1333</v>
      </c>
      <c r="E626" s="4" t="s">
        <v>3</v>
      </c>
      <c r="F626" s="4" t="s">
        <v>1334</v>
      </c>
      <c r="G626" s="4" t="s">
        <v>408</v>
      </c>
      <c r="H626" s="5">
        <f>ROUND(79000,0)</f>
        <v>79000</v>
      </c>
      <c r="I626" s="6">
        <f>ROUND(30350,2)</f>
        <v>30350</v>
      </c>
      <c r="J626" s="6">
        <f>ROUND(6.4008,2)</f>
        <v>6.4</v>
      </c>
      <c r="K626" s="5">
        <f>ROUND(1534687.81,0)</f>
        <v>1534688</v>
      </c>
      <c r="L626" s="7">
        <f>ROUND(0.000533369506823322,4)</f>
        <v>5.0000000000000001E-4</v>
      </c>
    </row>
    <row r="627" spans="1:12">
      <c r="A627" s="3" t="s">
        <v>1335</v>
      </c>
      <c r="B627" s="4" t="s">
        <v>1336</v>
      </c>
      <c r="C627" s="4" t="s">
        <v>406</v>
      </c>
      <c r="D627" s="4" t="s">
        <v>514</v>
      </c>
      <c r="E627" s="4" t="s">
        <v>515</v>
      </c>
      <c r="F627" s="4" t="s">
        <v>190</v>
      </c>
      <c r="G627" s="4" t="s">
        <v>408</v>
      </c>
      <c r="H627" s="5">
        <f>ROUND(169,0)</f>
        <v>169</v>
      </c>
      <c r="I627" s="6">
        <f>ROUND(1323.15,2)</f>
        <v>1323.15</v>
      </c>
      <c r="J627" s="6">
        <f>ROUND(6.86237833,2)</f>
        <v>6.86</v>
      </c>
      <c r="K627" s="5">
        <f>ROUND(1534512.54,0)</f>
        <v>1534513</v>
      </c>
      <c r="L627" s="7">
        <f>ROUND(0.00053330859301867,4)</f>
        <v>5.0000000000000001E-4</v>
      </c>
    </row>
    <row r="628" spans="1:12">
      <c r="A628" s="3" t="s">
        <v>1337</v>
      </c>
      <c r="B628" s="4" t="s">
        <v>1338</v>
      </c>
      <c r="C628" s="4" t="s">
        <v>445</v>
      </c>
      <c r="D628" s="4" t="s">
        <v>407</v>
      </c>
      <c r="E628" s="4" t="s">
        <v>35</v>
      </c>
      <c r="F628" s="4" t="s">
        <v>21</v>
      </c>
      <c r="G628" s="4" t="s">
        <v>408</v>
      </c>
      <c r="H628" s="5">
        <f>ROUND(2200,0)</f>
        <v>2200</v>
      </c>
      <c r="I628" s="6">
        <f>ROUND(76.63,2)</f>
        <v>76.63</v>
      </c>
      <c r="J628" s="6">
        <f>ROUND(9.08595,2)</f>
        <v>9.09</v>
      </c>
      <c r="K628" s="5">
        <f>ROUND(1531763.97,0)</f>
        <v>1531764</v>
      </c>
      <c r="L628" s="7">
        <f>ROUND(0.000532353347648363,4)</f>
        <v>5.0000000000000001E-4</v>
      </c>
    </row>
    <row r="629" spans="1:12">
      <c r="A629" s="3" t="s">
        <v>1339</v>
      </c>
      <c r="B629" s="4" t="s">
        <v>1340</v>
      </c>
      <c r="C629" s="4" t="s">
        <v>406</v>
      </c>
      <c r="D629" s="4" t="s">
        <v>407</v>
      </c>
      <c r="E629" s="4" t="s">
        <v>35</v>
      </c>
      <c r="F629" s="4" t="s">
        <v>21</v>
      </c>
      <c r="G629" s="4" t="s">
        <v>408</v>
      </c>
      <c r="H629" s="5">
        <f>ROUND(5900,0)</f>
        <v>5900</v>
      </c>
      <c r="I629" s="6">
        <f>ROUND(28.52,2)</f>
        <v>28.52</v>
      </c>
      <c r="J629" s="6">
        <f>ROUND(9.08595,2)</f>
        <v>9.09</v>
      </c>
      <c r="K629" s="5">
        <f>ROUND(1528874.63,0)</f>
        <v>1528875</v>
      </c>
      <c r="L629" s="7">
        <f>ROUND(0.000531349178695691,4)</f>
        <v>5.0000000000000001E-4</v>
      </c>
    </row>
    <row r="630" spans="1:12">
      <c r="A630" s="3" t="s">
        <v>1341</v>
      </c>
      <c r="B630" s="4" t="s">
        <v>1342</v>
      </c>
      <c r="C630" s="4" t="s">
        <v>422</v>
      </c>
      <c r="D630" s="4" t="s">
        <v>486</v>
      </c>
      <c r="E630" s="4" t="s">
        <v>30</v>
      </c>
      <c r="F630" s="4" t="s">
        <v>21</v>
      </c>
      <c r="G630" s="4" t="s">
        <v>408</v>
      </c>
      <c r="H630" s="5">
        <f>ROUND(3031,0)</f>
        <v>3031</v>
      </c>
      <c r="I630" s="6">
        <f>ROUND(55.45,2)</f>
        <v>55.45</v>
      </c>
      <c r="J630" s="6">
        <f>ROUND(9.08595,2)</f>
        <v>9.09</v>
      </c>
      <c r="K630" s="5">
        <f>ROUND(1527066.08,0)</f>
        <v>1527066</v>
      </c>
      <c r="L630" s="7">
        <f>ROUND(0.000530720630390766,4)</f>
        <v>5.0000000000000001E-4</v>
      </c>
    </row>
    <row r="631" spans="1:12">
      <c r="A631" s="3" t="s">
        <v>1343</v>
      </c>
      <c r="B631" s="4" t="s">
        <v>1344</v>
      </c>
      <c r="C631" s="4" t="s">
        <v>389</v>
      </c>
      <c r="D631" s="4" t="s">
        <v>456</v>
      </c>
      <c r="E631" s="4" t="s">
        <v>457</v>
      </c>
      <c r="F631" s="4" t="s">
        <v>21</v>
      </c>
      <c r="G631" s="4" t="s">
        <v>408</v>
      </c>
      <c r="H631" s="5">
        <f>ROUND(5892,0)</f>
        <v>5892</v>
      </c>
      <c r="I631" s="6">
        <f>ROUND(28.21,2)</f>
        <v>28.21</v>
      </c>
      <c r="J631" s="6">
        <f>ROUND(9.08595,2)</f>
        <v>9.09</v>
      </c>
      <c r="K631" s="5">
        <f>ROUND(1510205.91,0)</f>
        <v>1510206</v>
      </c>
      <c r="L631" s="7">
        <f>ROUND(0.000524861001807505,4)</f>
        <v>5.0000000000000001E-4</v>
      </c>
    </row>
    <row r="632" spans="1:12">
      <c r="A632" s="3" t="s">
        <v>1345</v>
      </c>
      <c r="B632" s="4" t="s">
        <v>1346</v>
      </c>
      <c r="C632" s="4" t="s">
        <v>534</v>
      </c>
      <c r="D632" s="4" t="s">
        <v>407</v>
      </c>
      <c r="E632" s="4" t="s">
        <v>35</v>
      </c>
      <c r="F632" s="4" t="s">
        <v>21</v>
      </c>
      <c r="G632" s="4" t="s">
        <v>408</v>
      </c>
      <c r="H632" s="5">
        <f>ROUND(2366,0)</f>
        <v>2366</v>
      </c>
      <c r="I632" s="6">
        <f>ROUND(70.01,2)</f>
        <v>70.010000000000005</v>
      </c>
      <c r="J632" s="6">
        <f>ROUND(9.08595,2)</f>
        <v>9.09</v>
      </c>
      <c r="K632" s="5">
        <f>ROUND(1505030.01,0)</f>
        <v>1505030</v>
      </c>
      <c r="L632" s="7">
        <f>ROUND(0.000523062155675818,4)</f>
        <v>5.0000000000000001E-4</v>
      </c>
    </row>
    <row r="633" spans="1:12">
      <c r="A633" s="3" t="s">
        <v>1347</v>
      </c>
      <c r="B633" s="4" t="s">
        <v>1348</v>
      </c>
      <c r="C633" s="4" t="s">
        <v>566</v>
      </c>
      <c r="D633" s="4" t="s">
        <v>552</v>
      </c>
      <c r="E633" s="4" t="s">
        <v>553</v>
      </c>
      <c r="F633" s="4" t="s">
        <v>26</v>
      </c>
      <c r="G633" s="4" t="s">
        <v>408</v>
      </c>
      <c r="H633" s="5">
        <f>ROUND(15000,0)</f>
        <v>15000</v>
      </c>
      <c r="I633" s="6">
        <f>ROUND(86.45,2)</f>
        <v>86.45</v>
      </c>
      <c r="J633" s="6">
        <f>ROUND(1.15901246,2)</f>
        <v>1.1599999999999999</v>
      </c>
      <c r="K633" s="5">
        <f>ROUND(1502949.41,0)</f>
        <v>1502949</v>
      </c>
      <c r="L633" s="7">
        <f>ROUND(0.00052233905838615,4)</f>
        <v>5.0000000000000001E-4</v>
      </c>
    </row>
    <row r="634" spans="1:12">
      <c r="A634" s="3" t="s">
        <v>1349</v>
      </c>
      <c r="B634" s="4" t="s">
        <v>1350</v>
      </c>
      <c r="C634" s="4" t="s">
        <v>445</v>
      </c>
      <c r="D634" s="4" t="s">
        <v>407</v>
      </c>
      <c r="E634" s="4" t="s">
        <v>35</v>
      </c>
      <c r="F634" s="4" t="s">
        <v>21</v>
      </c>
      <c r="G634" s="4" t="s">
        <v>408</v>
      </c>
      <c r="H634" s="5">
        <f>ROUND(600,0)</f>
        <v>600</v>
      </c>
      <c r="I634" s="6">
        <f>ROUND(271.93,2)</f>
        <v>271.93</v>
      </c>
      <c r="J634" s="6">
        <f>ROUND(9.08595,2)</f>
        <v>9.09</v>
      </c>
      <c r="K634" s="5">
        <f>ROUND(1482445.43,0)</f>
        <v>1482445</v>
      </c>
      <c r="L634" s="7">
        <f>ROUND(0.000515213050328189,4)</f>
        <v>5.0000000000000001E-4</v>
      </c>
    </row>
    <row r="635" spans="1:12">
      <c r="A635" s="3" t="s">
        <v>1351</v>
      </c>
      <c r="B635" s="4" t="s">
        <v>1352</v>
      </c>
      <c r="C635" s="4" t="s">
        <v>430</v>
      </c>
      <c r="D635" s="4" t="s">
        <v>655</v>
      </c>
      <c r="E635" s="4" t="s">
        <v>656</v>
      </c>
      <c r="F635" s="4" t="s">
        <v>26</v>
      </c>
      <c r="G635" s="4" t="s">
        <v>408</v>
      </c>
      <c r="H635" s="5">
        <f>ROUND(274000,0)</f>
        <v>274000</v>
      </c>
      <c r="I635" s="6">
        <f>ROUND(4.66,2)</f>
        <v>4.66</v>
      </c>
      <c r="J635" s="6">
        <f>ROUND(1.15901246,2)</f>
        <v>1.1599999999999999</v>
      </c>
      <c r="K635" s="5">
        <f>ROUND(1479873.47,0)</f>
        <v>1479873</v>
      </c>
      <c r="L635" s="7">
        <f>ROUND(0.000514319184469719,4)</f>
        <v>5.0000000000000001E-4</v>
      </c>
    </row>
    <row r="636" spans="1:12">
      <c r="A636" s="3" t="s">
        <v>1353</v>
      </c>
      <c r="B636" s="4" t="s">
        <v>1354</v>
      </c>
      <c r="C636" s="4" t="s">
        <v>400</v>
      </c>
      <c r="D636" s="4" t="s">
        <v>771</v>
      </c>
      <c r="E636" s="4" t="s">
        <v>772</v>
      </c>
      <c r="F636" s="4" t="s">
        <v>18</v>
      </c>
      <c r="G636" s="4" t="s">
        <v>408</v>
      </c>
      <c r="H636" s="5">
        <f>ROUND(13800,0)</f>
        <v>13800</v>
      </c>
      <c r="I636" s="6">
        <f>ROUND(10.82,2)</f>
        <v>10.82</v>
      </c>
      <c r="J636" s="6">
        <f>ROUND(9.9055,2)</f>
        <v>9.91</v>
      </c>
      <c r="K636" s="5">
        <f>ROUND(1479049.64,0)</f>
        <v>1479050</v>
      </c>
      <c r="L636" s="7">
        <f>ROUND(0.000514032868387749,4)</f>
        <v>5.0000000000000001E-4</v>
      </c>
    </row>
    <row r="637" spans="1:12">
      <c r="A637" s="3" t="s">
        <v>1355</v>
      </c>
      <c r="B637" s="4" t="s">
        <v>1356</v>
      </c>
      <c r="C637" s="4" t="s">
        <v>430</v>
      </c>
      <c r="D637" s="4" t="s">
        <v>766</v>
      </c>
      <c r="E637" s="4" t="s">
        <v>767</v>
      </c>
      <c r="F637" s="4" t="s">
        <v>768</v>
      </c>
      <c r="G637" s="4" t="s">
        <v>408</v>
      </c>
      <c r="H637" s="5">
        <f>ROUND(41100,0)</f>
        <v>41100</v>
      </c>
      <c r="I637" s="6">
        <f>ROUND(121,2)</f>
        <v>121</v>
      </c>
      <c r="J637" s="6">
        <f>ROUND(0.29707172,2)</f>
        <v>0.3</v>
      </c>
      <c r="K637" s="5">
        <f>ROUND(1477367.37,0)</f>
        <v>1477367</v>
      </c>
      <c r="L637" s="7">
        <f>ROUND(0.000513448207771826,4)</f>
        <v>5.0000000000000001E-4</v>
      </c>
    </row>
    <row r="638" spans="1:12">
      <c r="A638" s="3" t="s">
        <v>1357</v>
      </c>
      <c r="B638" s="4" t="s">
        <v>1358</v>
      </c>
      <c r="C638" s="4" t="s">
        <v>534</v>
      </c>
      <c r="D638" s="4" t="s">
        <v>489</v>
      </c>
      <c r="E638" s="4" t="s">
        <v>490</v>
      </c>
      <c r="F638" s="4" t="s">
        <v>45</v>
      </c>
      <c r="G638" s="4" t="s">
        <v>408</v>
      </c>
      <c r="H638" s="5">
        <f>ROUND(7100,0)</f>
        <v>7100</v>
      </c>
      <c r="I638" s="6">
        <f>ROUND(2475,2)</f>
        <v>2475</v>
      </c>
      <c r="J638" s="6">
        <f>ROUND(8.407077,2)</f>
        <v>8.41</v>
      </c>
      <c r="K638" s="5">
        <f>ROUND(1477333.61,0)</f>
        <v>1477334</v>
      </c>
      <c r="L638" s="7">
        <f>ROUND(0.000513436474731117,4)</f>
        <v>5.0000000000000001E-4</v>
      </c>
    </row>
    <row r="639" spans="1:12">
      <c r="A639" s="3" t="s">
        <v>1359</v>
      </c>
      <c r="B639" s="4" t="s">
        <v>1360</v>
      </c>
      <c r="C639" s="4" t="s">
        <v>545</v>
      </c>
      <c r="D639" s="4" t="s">
        <v>423</v>
      </c>
      <c r="E639" s="4" t="s">
        <v>25</v>
      </c>
      <c r="F639" s="4" t="s">
        <v>16</v>
      </c>
      <c r="G639" s="4" t="s">
        <v>408</v>
      </c>
      <c r="H639" s="5">
        <f>ROUND(3295,0)</f>
        <v>3295</v>
      </c>
      <c r="I639" s="6">
        <f>ROUND(49.12,2)</f>
        <v>49.12</v>
      </c>
      <c r="J639" s="6">
        <f>ROUND(9.11185723,2)</f>
        <v>9.11</v>
      </c>
      <c r="K639" s="5">
        <f>ROUND(1474757.74,0)</f>
        <v>1474758</v>
      </c>
      <c r="L639" s="7">
        <f>ROUND(0.000512541249980788,4)</f>
        <v>5.0000000000000001E-4</v>
      </c>
    </row>
    <row r="640" spans="1:12">
      <c r="A640" s="3" t="s">
        <v>1361</v>
      </c>
      <c r="B640" s="4" t="s">
        <v>1362</v>
      </c>
      <c r="C640" s="4" t="s">
        <v>400</v>
      </c>
      <c r="D640" s="4" t="s">
        <v>423</v>
      </c>
      <c r="E640" s="4" t="s">
        <v>25</v>
      </c>
      <c r="F640" s="4" t="s">
        <v>16</v>
      </c>
      <c r="G640" s="4" t="s">
        <v>408</v>
      </c>
      <c r="H640" s="5">
        <f>ROUND(1553,0)</f>
        <v>1553</v>
      </c>
      <c r="I640" s="6">
        <f>ROUND(104.1,2)</f>
        <v>104.1</v>
      </c>
      <c r="J640" s="6">
        <f>ROUND(9.11185723,2)</f>
        <v>9.11</v>
      </c>
      <c r="K640" s="5">
        <f>ROUND(1473089.36,0)</f>
        <v>1473089</v>
      </c>
      <c r="L640" s="7">
        <f>ROUND(0.000511961416732621,4)</f>
        <v>5.0000000000000001E-4</v>
      </c>
    </row>
    <row r="641" spans="1:12">
      <c r="A641" s="3" t="s">
        <v>1363</v>
      </c>
      <c r="B641" s="4" t="s">
        <v>1364</v>
      </c>
      <c r="C641" s="4" t="s">
        <v>422</v>
      </c>
      <c r="D641" s="4" t="s">
        <v>789</v>
      </c>
      <c r="E641" s="4" t="s">
        <v>790</v>
      </c>
      <c r="F641" s="4" t="s">
        <v>791</v>
      </c>
      <c r="G641" s="4" t="s">
        <v>408</v>
      </c>
      <c r="H641" s="5">
        <f>ROUND(5777,0)</f>
        <v>5777</v>
      </c>
      <c r="I641" s="6">
        <f>ROUND(1981.95,2)</f>
        <v>1981.95</v>
      </c>
      <c r="J641" s="6">
        <f>ROUND(0.12820804,2)</f>
        <v>0.13</v>
      </c>
      <c r="K641" s="5">
        <f>ROUND(1467946.82,0)</f>
        <v>1467947</v>
      </c>
      <c r="L641" s="7">
        <f>ROUND(0.000510174164624572,4)</f>
        <v>5.0000000000000001E-4</v>
      </c>
    </row>
    <row r="642" spans="1:12">
      <c r="A642" s="3" t="s">
        <v>1365</v>
      </c>
      <c r="B642" s="4" t="s">
        <v>1366</v>
      </c>
      <c r="C642" s="4" t="s">
        <v>389</v>
      </c>
      <c r="D642" s="4" t="s">
        <v>489</v>
      </c>
      <c r="E642" s="4" t="s">
        <v>490</v>
      </c>
      <c r="F642" s="4" t="s">
        <v>45</v>
      </c>
      <c r="G642" s="4" t="s">
        <v>408</v>
      </c>
      <c r="H642" s="5">
        <f>ROUND(25800,0)</f>
        <v>25800</v>
      </c>
      <c r="I642" s="6">
        <f>ROUND(674.1,2)</f>
        <v>674.1</v>
      </c>
      <c r="J642" s="6">
        <f>ROUND(8.407077,2)</f>
        <v>8.41</v>
      </c>
      <c r="K642" s="5">
        <f>ROUND(1462140.34,0)</f>
        <v>1462140</v>
      </c>
      <c r="L642" s="7">
        <f>ROUND(0.000508156165032864,4)</f>
        <v>5.0000000000000001E-4</v>
      </c>
    </row>
    <row r="643" spans="1:12">
      <c r="A643" s="3" t="s">
        <v>1367</v>
      </c>
      <c r="B643" s="4" t="s">
        <v>1368</v>
      </c>
      <c r="C643" s="4" t="s">
        <v>534</v>
      </c>
      <c r="D643" s="4" t="s">
        <v>489</v>
      </c>
      <c r="E643" s="4" t="s">
        <v>490</v>
      </c>
      <c r="F643" s="4" t="s">
        <v>45</v>
      </c>
      <c r="G643" s="4" t="s">
        <v>408</v>
      </c>
      <c r="H643" s="5">
        <f>ROUND(12100,0)</f>
        <v>12100</v>
      </c>
      <c r="I643" s="6">
        <f>ROUND(1432.5,2)</f>
        <v>1432.5</v>
      </c>
      <c r="J643" s="6">
        <f>ROUND(8.407077,2)</f>
        <v>8.41</v>
      </c>
      <c r="K643" s="5">
        <f>ROUND(1457219.67,0)</f>
        <v>1457220</v>
      </c>
      <c r="L643" s="7">
        <f>ROUND(0.000506446022218124,4)</f>
        <v>5.0000000000000001E-4</v>
      </c>
    </row>
    <row r="644" spans="1:12">
      <c r="A644" s="3" t="s">
        <v>1369</v>
      </c>
      <c r="B644" s="4" t="s">
        <v>1370</v>
      </c>
      <c r="C644" s="4" t="s">
        <v>406</v>
      </c>
      <c r="D644" s="4" t="s">
        <v>407</v>
      </c>
      <c r="E644" s="4" t="s">
        <v>35</v>
      </c>
      <c r="F644" s="4" t="s">
        <v>21</v>
      </c>
      <c r="G644" s="4" t="s">
        <v>408</v>
      </c>
      <c r="H644" s="5">
        <f>ROUND(1000,0)</f>
        <v>1000</v>
      </c>
      <c r="I644" s="6">
        <f>ROUND(159.45,2)</f>
        <v>159.44999999999999</v>
      </c>
      <c r="J644" s="6">
        <f>ROUND(9.08595,2)</f>
        <v>9.09</v>
      </c>
      <c r="K644" s="5">
        <f>ROUND(1448754.73,0)</f>
        <v>1448755</v>
      </c>
      <c r="L644" s="7">
        <f>ROUND(0.000503504094326556,4)</f>
        <v>5.0000000000000001E-4</v>
      </c>
    </row>
    <row r="645" spans="1:12">
      <c r="A645" s="3" t="s">
        <v>1371</v>
      </c>
      <c r="B645" s="4" t="s">
        <v>1372</v>
      </c>
      <c r="C645" s="4" t="s">
        <v>400</v>
      </c>
      <c r="D645" s="4" t="s">
        <v>1221</v>
      </c>
      <c r="E645" s="4" t="s">
        <v>1222</v>
      </c>
      <c r="F645" s="4" t="s">
        <v>1223</v>
      </c>
      <c r="G645" s="4" t="s">
        <v>408</v>
      </c>
      <c r="H645" s="5">
        <f>ROUND(20300,0)</f>
        <v>20300</v>
      </c>
      <c r="I645" s="6">
        <f>ROUND(10.86,2)</f>
        <v>10.86</v>
      </c>
      <c r="J645" s="6">
        <f>ROUND(6.57015886,2)</f>
        <v>6.57</v>
      </c>
      <c r="K645" s="5">
        <f>ROUND(1448444.08,0)</f>
        <v>1448444</v>
      </c>
      <c r="L645" s="7">
        <f>ROUND(0.000503396130194558,4)</f>
        <v>5.0000000000000001E-4</v>
      </c>
    </row>
    <row r="646" spans="1:12">
      <c r="A646" s="3" t="s">
        <v>1373</v>
      </c>
      <c r="B646" s="4" t="s">
        <v>1374</v>
      </c>
      <c r="C646" s="4" t="s">
        <v>389</v>
      </c>
      <c r="D646" s="4" t="s">
        <v>407</v>
      </c>
      <c r="E646" s="4" t="s">
        <v>35</v>
      </c>
      <c r="F646" s="4" t="s">
        <v>21</v>
      </c>
      <c r="G646" s="4" t="s">
        <v>408</v>
      </c>
      <c r="H646" s="5">
        <f>ROUND(400,0)</f>
        <v>400</v>
      </c>
      <c r="I646" s="6">
        <f>ROUND(398.51,2)</f>
        <v>398.51</v>
      </c>
      <c r="J646" s="6">
        <f>ROUND(9.08595,2)</f>
        <v>9.09</v>
      </c>
      <c r="K646" s="5">
        <f>ROUND(1448336.77,0)</f>
        <v>1448337</v>
      </c>
      <c r="L646" s="7">
        <f>ROUND(0.0005033588353901,4)</f>
        <v>5.0000000000000001E-4</v>
      </c>
    </row>
    <row r="647" spans="1:12">
      <c r="A647" s="3" t="s">
        <v>1375</v>
      </c>
      <c r="B647" s="4" t="s">
        <v>1376</v>
      </c>
      <c r="C647" s="4" t="s">
        <v>445</v>
      </c>
      <c r="D647" s="4" t="s">
        <v>423</v>
      </c>
      <c r="E647" s="4" t="s">
        <v>25</v>
      </c>
      <c r="F647" s="4" t="s">
        <v>16</v>
      </c>
      <c r="G647" s="4" t="s">
        <v>408</v>
      </c>
      <c r="H647" s="5">
        <f>ROUND(685,0)</f>
        <v>685</v>
      </c>
      <c r="I647" s="6">
        <f>ROUND(232,2)</f>
        <v>232</v>
      </c>
      <c r="J647" s="6">
        <f>ROUND(9.11185723,2)</f>
        <v>9.11</v>
      </c>
      <c r="K647" s="5">
        <f>ROUND(1448056.35,0)</f>
        <v>1448056</v>
      </c>
      <c r="L647" s="7">
        <f>ROUND(0.000503261377473168,4)</f>
        <v>5.0000000000000001E-4</v>
      </c>
    </row>
    <row r="648" spans="1:12">
      <c r="A648" s="3" t="s">
        <v>1377</v>
      </c>
      <c r="B648" s="4" t="s">
        <v>1378</v>
      </c>
      <c r="C648" s="4" t="s">
        <v>445</v>
      </c>
      <c r="D648" s="4" t="s">
        <v>407</v>
      </c>
      <c r="E648" s="4" t="s">
        <v>35</v>
      </c>
      <c r="F648" s="4" t="s">
        <v>21</v>
      </c>
      <c r="G648" s="4" t="s">
        <v>408</v>
      </c>
      <c r="H648" s="5">
        <f>ROUND(1062,0)</f>
        <v>1062</v>
      </c>
      <c r="I648" s="6">
        <f>ROUND(149.38,2)</f>
        <v>149.38</v>
      </c>
      <c r="J648" s="6">
        <f>ROUND(9.08595,2)</f>
        <v>9.09</v>
      </c>
      <c r="K648" s="5">
        <f>ROUND(1441409.28,0)</f>
        <v>1441409</v>
      </c>
      <c r="L648" s="7">
        <f>ROUND(0.000500951236984257,4)</f>
        <v>5.0000000000000001E-4</v>
      </c>
    </row>
    <row r="649" spans="1:12">
      <c r="A649" s="3" t="s">
        <v>1379</v>
      </c>
      <c r="B649" s="4" t="s">
        <v>1380</v>
      </c>
      <c r="C649" s="4" t="s">
        <v>389</v>
      </c>
      <c r="D649" s="4" t="s">
        <v>407</v>
      </c>
      <c r="E649" s="4" t="s">
        <v>35</v>
      </c>
      <c r="F649" s="4" t="s">
        <v>21</v>
      </c>
      <c r="G649" s="4" t="s">
        <v>408</v>
      </c>
      <c r="H649" s="5">
        <f>ROUND(2742,0)</f>
        <v>2742</v>
      </c>
      <c r="I649" s="6">
        <f>ROUND(57.76,2)</f>
        <v>57.76</v>
      </c>
      <c r="J649" s="6">
        <f>ROUND(9.08595,2)</f>
        <v>9.09</v>
      </c>
      <c r="K649" s="5">
        <f>ROUND(1439013.86,0)</f>
        <v>1439014</v>
      </c>
      <c r="L649" s="7">
        <f>ROUND(0.000500118726309636,4)</f>
        <v>5.0000000000000001E-4</v>
      </c>
    </row>
    <row r="650" spans="1:12">
      <c r="A650" s="3" t="s">
        <v>1381</v>
      </c>
      <c r="B650" s="4" t="s">
        <v>1382</v>
      </c>
      <c r="C650" s="4" t="s">
        <v>445</v>
      </c>
      <c r="D650" s="4" t="s">
        <v>407</v>
      </c>
      <c r="E650" s="4" t="s">
        <v>35</v>
      </c>
      <c r="F650" s="4" t="s">
        <v>21</v>
      </c>
      <c r="G650" s="4" t="s">
        <v>408</v>
      </c>
      <c r="H650" s="5">
        <f>ROUND(3640,0)</f>
        <v>3640</v>
      </c>
      <c r="I650" s="6">
        <f>ROUND(43.26,2)</f>
        <v>43.26</v>
      </c>
      <c r="J650" s="6">
        <f>ROUND(9.08595,2)</f>
        <v>9.09</v>
      </c>
      <c r="K650" s="5">
        <f>ROUND(1430731.84,0)</f>
        <v>1430732</v>
      </c>
      <c r="L650" s="7">
        <f>ROUND(0.000497240370924185,4)</f>
        <v>5.0000000000000001E-4</v>
      </c>
    </row>
    <row r="651" spans="1:12">
      <c r="A651" s="3" t="s">
        <v>1383</v>
      </c>
      <c r="B651" s="4" t="s">
        <v>1384</v>
      </c>
      <c r="C651" s="4" t="s">
        <v>406</v>
      </c>
      <c r="D651" s="4" t="s">
        <v>739</v>
      </c>
      <c r="E651" s="4" t="s">
        <v>740</v>
      </c>
      <c r="F651" s="4" t="s">
        <v>741</v>
      </c>
      <c r="G651" s="4" t="s">
        <v>408</v>
      </c>
      <c r="H651" s="5">
        <f>ROUND(1826,0)</f>
        <v>1826</v>
      </c>
      <c r="I651" s="6">
        <f>ROUND(103000,2)</f>
        <v>103000</v>
      </c>
      <c r="J651" s="6">
        <f>ROUND(0.00759599,2)</f>
        <v>0.01</v>
      </c>
      <c r="K651" s="5">
        <f>ROUND(1428638.61,0)</f>
        <v>1428639</v>
      </c>
      <c r="L651" s="7">
        <f>ROUND(0.000496512884170532,4)</f>
        <v>5.0000000000000001E-4</v>
      </c>
    </row>
    <row r="652" spans="1:12">
      <c r="A652" s="3" t="s">
        <v>1385</v>
      </c>
      <c r="B652" s="4" t="s">
        <v>1386</v>
      </c>
      <c r="C652" s="4" t="s">
        <v>566</v>
      </c>
      <c r="D652" s="4" t="s">
        <v>541</v>
      </c>
      <c r="E652" s="4" t="s">
        <v>542</v>
      </c>
      <c r="F652" s="4" t="s">
        <v>18</v>
      </c>
      <c r="G652" s="4" t="s">
        <v>408</v>
      </c>
      <c r="H652" s="5">
        <f>ROUND(3086,0)</f>
        <v>3086</v>
      </c>
      <c r="I652" s="6">
        <f>ROUND(46.55,2)</f>
        <v>46.55</v>
      </c>
      <c r="J652" s="6">
        <f>ROUND(9.9055,2)</f>
        <v>9.91</v>
      </c>
      <c r="K652" s="5">
        <f>ROUND(1422957.76,0)</f>
        <v>1422958</v>
      </c>
      <c r="L652" s="7">
        <f>ROUND(0.000494538546365087,4)</f>
        <v>5.0000000000000001E-4</v>
      </c>
    </row>
    <row r="653" spans="1:12">
      <c r="A653" s="3" t="s">
        <v>1387</v>
      </c>
      <c r="B653" s="4" t="s">
        <v>1388</v>
      </c>
      <c r="C653" s="4" t="s">
        <v>415</v>
      </c>
      <c r="D653" s="4" t="s">
        <v>520</v>
      </c>
      <c r="E653" s="4" t="s">
        <v>521</v>
      </c>
      <c r="F653" s="4" t="s">
        <v>18</v>
      </c>
      <c r="G653" s="4" t="s">
        <v>408</v>
      </c>
      <c r="H653" s="5">
        <f>ROUND(5671,0)</f>
        <v>5671</v>
      </c>
      <c r="I653" s="6">
        <f>ROUND(25.18,2)</f>
        <v>25.18</v>
      </c>
      <c r="J653" s="6">
        <f>ROUND(9.9055,2)</f>
        <v>9.91</v>
      </c>
      <c r="K653" s="5">
        <f>ROUND(1414463.6,0)</f>
        <v>1414464</v>
      </c>
      <c r="L653" s="7">
        <f>ROUND(0.000491586463276555,4)</f>
        <v>5.0000000000000001E-4</v>
      </c>
    </row>
    <row r="654" spans="1:12">
      <c r="A654" s="3" t="s">
        <v>1389</v>
      </c>
      <c r="B654" s="4" t="s">
        <v>1390</v>
      </c>
      <c r="C654" s="4" t="s">
        <v>534</v>
      </c>
      <c r="D654" s="4" t="s">
        <v>407</v>
      </c>
      <c r="E654" s="4" t="s">
        <v>35</v>
      </c>
      <c r="F654" s="4" t="s">
        <v>21</v>
      </c>
      <c r="G654" s="4" t="s">
        <v>408</v>
      </c>
      <c r="H654" s="5">
        <f>ROUND(578,0)</f>
        <v>578</v>
      </c>
      <c r="I654" s="6">
        <f>ROUND(268.1,2)</f>
        <v>268.10000000000002</v>
      </c>
      <c r="J654" s="6">
        <f>ROUND(9.08595,2)</f>
        <v>9.09</v>
      </c>
      <c r="K654" s="5">
        <f>ROUND(1407975.17,0)</f>
        <v>1407975</v>
      </c>
      <c r="L654" s="7">
        <f>ROUND(0.00048933145695761,4)</f>
        <v>5.0000000000000001E-4</v>
      </c>
    </row>
    <row r="655" spans="1:12">
      <c r="A655" s="3" t="s">
        <v>1391</v>
      </c>
      <c r="B655" s="4" t="s">
        <v>1392</v>
      </c>
      <c r="C655" s="4" t="s">
        <v>445</v>
      </c>
      <c r="D655" s="4" t="s">
        <v>407</v>
      </c>
      <c r="E655" s="4" t="s">
        <v>35</v>
      </c>
      <c r="F655" s="4" t="s">
        <v>21</v>
      </c>
      <c r="G655" s="4" t="s">
        <v>408</v>
      </c>
      <c r="H655" s="5">
        <f>ROUND(597,0)</f>
        <v>597</v>
      </c>
      <c r="I655" s="6">
        <f>ROUND(259.17,2)</f>
        <v>259.17</v>
      </c>
      <c r="J655" s="6">
        <f>ROUND(9.08595,2)</f>
        <v>9.09</v>
      </c>
      <c r="K655" s="5">
        <f>ROUND(1405818.98,0)</f>
        <v>1405819</v>
      </c>
      <c r="L655" s="7">
        <f>ROUND(0.000488582088917137,4)</f>
        <v>5.0000000000000001E-4</v>
      </c>
    </row>
    <row r="656" spans="1:12">
      <c r="A656" s="3" t="s">
        <v>1393</v>
      </c>
      <c r="B656" s="4" t="s">
        <v>1394</v>
      </c>
      <c r="C656" s="4" t="s">
        <v>400</v>
      </c>
      <c r="D656" s="4" t="s">
        <v>496</v>
      </c>
      <c r="E656" s="4" t="s">
        <v>497</v>
      </c>
      <c r="F656" s="4" t="s">
        <v>21</v>
      </c>
      <c r="G656" s="4" t="s">
        <v>408</v>
      </c>
      <c r="H656" s="5">
        <f>ROUND(800,0)</f>
        <v>800</v>
      </c>
      <c r="I656" s="6">
        <f>ROUND(192.97,2)</f>
        <v>192.97</v>
      </c>
      <c r="J656" s="6">
        <f>ROUND(9.08595,2)</f>
        <v>9.09</v>
      </c>
      <c r="K656" s="5">
        <f>ROUND(1402652.62,0)</f>
        <v>1402653</v>
      </c>
      <c r="L656" s="7">
        <f>ROUND(0.000487481643692629,4)</f>
        <v>5.0000000000000001E-4</v>
      </c>
    </row>
    <row r="657" spans="1:12">
      <c r="A657" s="3" t="s">
        <v>1395</v>
      </c>
      <c r="B657" s="4" t="s">
        <v>1396</v>
      </c>
      <c r="C657" s="4" t="s">
        <v>545</v>
      </c>
      <c r="D657" s="4" t="s">
        <v>407</v>
      </c>
      <c r="E657" s="4" t="s">
        <v>35</v>
      </c>
      <c r="F657" s="4" t="s">
        <v>21</v>
      </c>
      <c r="G657" s="4" t="s">
        <v>408</v>
      </c>
      <c r="H657" s="5">
        <f>ROUND(5485,0)</f>
        <v>5485</v>
      </c>
      <c r="I657" s="6">
        <f>ROUND(28,2)</f>
        <v>28</v>
      </c>
      <c r="J657" s="6">
        <f>ROUND(9.08595,2)</f>
        <v>9.09</v>
      </c>
      <c r="K657" s="5">
        <f>ROUND(1395420.2,0)</f>
        <v>1395420</v>
      </c>
      <c r="L657" s="7">
        <f>ROUND(0.000484968069098888,4)</f>
        <v>5.0000000000000001E-4</v>
      </c>
    </row>
    <row r="658" spans="1:12">
      <c r="A658" s="3" t="s">
        <v>1397</v>
      </c>
      <c r="B658" s="4" t="s">
        <v>1398</v>
      </c>
      <c r="C658" s="4" t="s">
        <v>400</v>
      </c>
      <c r="D658" s="4" t="s">
        <v>789</v>
      </c>
      <c r="E658" s="4" t="s">
        <v>790</v>
      </c>
      <c r="F658" s="4" t="s">
        <v>791</v>
      </c>
      <c r="G658" s="4" t="s">
        <v>408</v>
      </c>
      <c r="H658" s="5">
        <f>ROUND(25041,0)</f>
        <v>25041</v>
      </c>
      <c r="I658" s="6">
        <f>ROUND(433.7,2)</f>
        <v>433.7</v>
      </c>
      <c r="J658" s="6">
        <f>ROUND(0.12820804,2)</f>
        <v>0.13</v>
      </c>
      <c r="K658" s="5">
        <f>ROUND(1392375.43,0)</f>
        <v>1392375</v>
      </c>
      <c r="L658" s="7">
        <f>ROUND(0.000483909881588237,4)</f>
        <v>5.0000000000000001E-4</v>
      </c>
    </row>
    <row r="659" spans="1:12">
      <c r="A659" s="3" t="s">
        <v>1399</v>
      </c>
      <c r="B659" s="4" t="s">
        <v>1400</v>
      </c>
      <c r="C659" s="4" t="s">
        <v>545</v>
      </c>
      <c r="D659" s="4" t="s">
        <v>1024</v>
      </c>
      <c r="E659" s="4" t="s">
        <v>1025</v>
      </c>
      <c r="F659" s="4" t="s">
        <v>1026</v>
      </c>
      <c r="G659" s="4" t="s">
        <v>408</v>
      </c>
      <c r="H659" s="5">
        <f>ROUND(6650,0)</f>
        <v>6650</v>
      </c>
      <c r="I659" s="6">
        <f>ROUND(226.25,2)</f>
        <v>226.25</v>
      </c>
      <c r="J659" s="6">
        <f>ROUND(0.92410673,2)</f>
        <v>0.92</v>
      </c>
      <c r="K659" s="5">
        <f>ROUND(1390376.33,0)</f>
        <v>1390376</v>
      </c>
      <c r="L659" s="7">
        <f>ROUND(0.000483215109026585,4)</f>
        <v>5.0000000000000001E-4</v>
      </c>
    </row>
    <row r="660" spans="1:12">
      <c r="A660" s="3" t="s">
        <v>1401</v>
      </c>
      <c r="B660" s="4" t="s">
        <v>1402</v>
      </c>
      <c r="C660" s="4" t="s">
        <v>415</v>
      </c>
      <c r="D660" s="4" t="s">
        <v>552</v>
      </c>
      <c r="E660" s="4" t="s">
        <v>553</v>
      </c>
      <c r="F660" s="4" t="s">
        <v>26</v>
      </c>
      <c r="G660" s="4" t="s">
        <v>408</v>
      </c>
      <c r="H660" s="5">
        <f>ROUND(144000,0)</f>
        <v>144000</v>
      </c>
      <c r="I660" s="6">
        <f>ROUND(8.32,2)</f>
        <v>8.32</v>
      </c>
      <c r="J660" s="6">
        <f>ROUND(1.15901246,2)</f>
        <v>1.1599999999999999</v>
      </c>
      <c r="K660" s="5">
        <f>ROUND(1388589.65,0)</f>
        <v>1388590</v>
      </c>
      <c r="L660" s="7">
        <f>ROUND(0.000482594161479962,4)</f>
        <v>5.0000000000000001E-4</v>
      </c>
    </row>
    <row r="661" spans="1:12">
      <c r="A661" s="3" t="s">
        <v>1403</v>
      </c>
      <c r="B661" s="4" t="s">
        <v>1404</v>
      </c>
      <c r="C661" s="4" t="s">
        <v>406</v>
      </c>
      <c r="D661" s="4" t="s">
        <v>520</v>
      </c>
      <c r="E661" s="4" t="s">
        <v>521</v>
      </c>
      <c r="F661" s="4" t="s">
        <v>18</v>
      </c>
      <c r="G661" s="4" t="s">
        <v>408</v>
      </c>
      <c r="H661" s="5">
        <f>ROUND(1071,0)</f>
        <v>1071</v>
      </c>
      <c r="I661" s="6">
        <f>ROUND(130.75,2)</f>
        <v>130.75</v>
      </c>
      <c r="J661" s="6">
        <f>ROUND(9.9055,2)</f>
        <v>9.91</v>
      </c>
      <c r="K661" s="5">
        <f>ROUND(1387099.36,0)</f>
        <v>1387099</v>
      </c>
      <c r="L661" s="7">
        <f>ROUND(0.000482076222106792,4)</f>
        <v>5.0000000000000001E-4</v>
      </c>
    </row>
    <row r="662" spans="1:12">
      <c r="A662" s="3" t="s">
        <v>1405</v>
      </c>
      <c r="B662" s="4" t="s">
        <v>1406</v>
      </c>
      <c r="C662" s="4" t="s">
        <v>400</v>
      </c>
      <c r="D662" s="4" t="s">
        <v>407</v>
      </c>
      <c r="E662" s="4" t="s">
        <v>35</v>
      </c>
      <c r="F662" s="4" t="s">
        <v>21</v>
      </c>
      <c r="G662" s="4" t="s">
        <v>408</v>
      </c>
      <c r="H662" s="5">
        <f>ROUND(2572,0)</f>
        <v>2572</v>
      </c>
      <c r="I662" s="6">
        <f>ROUND(59.19,2)</f>
        <v>59.19</v>
      </c>
      <c r="J662" s="6">
        <f>ROUND(9.08595,2)</f>
        <v>9.09</v>
      </c>
      <c r="K662" s="5">
        <f>ROUND(1383214.86,0)</f>
        <v>1383215</v>
      </c>
      <c r="L662" s="7">
        <f>ROUND(0.000480726192585638,4)</f>
        <v>5.0000000000000001E-4</v>
      </c>
    </row>
    <row r="663" spans="1:12">
      <c r="A663" s="3" t="s">
        <v>1407</v>
      </c>
      <c r="B663" s="4" t="s">
        <v>1408</v>
      </c>
      <c r="C663" s="4" t="s">
        <v>400</v>
      </c>
      <c r="D663" s="4" t="s">
        <v>407</v>
      </c>
      <c r="E663" s="4" t="s">
        <v>35</v>
      </c>
      <c r="F663" s="4" t="s">
        <v>21</v>
      </c>
      <c r="G663" s="4" t="s">
        <v>408</v>
      </c>
      <c r="H663" s="5">
        <f>ROUND(2504,0)</f>
        <v>2504</v>
      </c>
      <c r="I663" s="6">
        <f>ROUND(60.61,2)</f>
        <v>60.61</v>
      </c>
      <c r="J663" s="6">
        <f>ROUND(9.08595,2)</f>
        <v>9.09</v>
      </c>
      <c r="K663" s="5">
        <f>ROUND(1378951.37,0)</f>
        <v>1378951</v>
      </c>
      <c r="L663" s="7">
        <f>ROUND(0.000479244447866074,4)</f>
        <v>5.0000000000000001E-4</v>
      </c>
    </row>
    <row r="664" spans="1:12">
      <c r="A664" s="3" t="s">
        <v>1409</v>
      </c>
      <c r="B664" s="4" t="s">
        <v>1410</v>
      </c>
      <c r="C664" s="4" t="s">
        <v>406</v>
      </c>
      <c r="D664" s="4" t="s">
        <v>407</v>
      </c>
      <c r="E664" s="4" t="s">
        <v>35</v>
      </c>
      <c r="F664" s="4" t="s">
        <v>21</v>
      </c>
      <c r="G664" s="4" t="s">
        <v>408</v>
      </c>
      <c r="H664" s="5">
        <f>ROUND(529,0)</f>
        <v>529</v>
      </c>
      <c r="I664" s="6">
        <f>ROUND(286.78,2)</f>
        <v>286.77999999999997</v>
      </c>
      <c r="J664" s="6">
        <f>ROUND(9.08595,2)</f>
        <v>9.09</v>
      </c>
      <c r="K664" s="5">
        <f>ROUND(1378398.76,0)</f>
        <v>1378399</v>
      </c>
      <c r="L664" s="7">
        <f>ROUND(0.000479052392308426,4)</f>
        <v>5.0000000000000001E-4</v>
      </c>
    </row>
    <row r="665" spans="1:12">
      <c r="A665" s="3" t="s">
        <v>1411</v>
      </c>
      <c r="B665" s="4" t="s">
        <v>1412</v>
      </c>
      <c r="C665" s="4" t="s">
        <v>534</v>
      </c>
      <c r="D665" s="4" t="s">
        <v>390</v>
      </c>
      <c r="E665" s="4" t="s">
        <v>391</v>
      </c>
      <c r="F665" s="4" t="s">
        <v>72</v>
      </c>
      <c r="G665" s="4" t="s">
        <v>408</v>
      </c>
      <c r="H665" s="5">
        <f>ROUND(15281,0)</f>
        <v>15281</v>
      </c>
      <c r="I665" s="6">
        <f>ROUND(14.69,2)</f>
        <v>14.69</v>
      </c>
      <c r="J665" s="6">
        <f>ROUND(6.12812423,2)</f>
        <v>6.13</v>
      </c>
      <c r="K665" s="5">
        <f>ROUND(1375628.4,0)</f>
        <v>1375628</v>
      </c>
      <c r="L665" s="7">
        <f>ROUND(0.00047808957398323,4)</f>
        <v>5.0000000000000001E-4</v>
      </c>
    </row>
    <row r="666" spans="1:12">
      <c r="A666" s="3" t="s">
        <v>1413</v>
      </c>
      <c r="B666" s="4" t="s">
        <v>1414</v>
      </c>
      <c r="C666" s="4" t="s">
        <v>415</v>
      </c>
      <c r="D666" s="4" t="s">
        <v>407</v>
      </c>
      <c r="E666" s="4" t="s">
        <v>35</v>
      </c>
      <c r="F666" s="4" t="s">
        <v>21</v>
      </c>
      <c r="G666" s="4" t="s">
        <v>408</v>
      </c>
      <c r="H666" s="5">
        <f>ROUND(693,0)</f>
        <v>693</v>
      </c>
      <c r="I666" s="6">
        <f>ROUND(217.97,2)</f>
        <v>217.97</v>
      </c>
      <c r="J666" s="6">
        <f>ROUND(9.08595,2)</f>
        <v>9.09</v>
      </c>
      <c r="K666" s="5">
        <f>ROUND(1372461.91,0)</f>
        <v>1372462</v>
      </c>
      <c r="L666" s="7">
        <f>ROUND(0.000476989083578174,4)</f>
        <v>5.0000000000000001E-4</v>
      </c>
    </row>
    <row r="667" spans="1:12">
      <c r="A667" s="3" t="s">
        <v>1415</v>
      </c>
      <c r="B667" s="4" t="s">
        <v>1416</v>
      </c>
      <c r="C667" s="4" t="s">
        <v>422</v>
      </c>
      <c r="D667" s="4" t="s">
        <v>407</v>
      </c>
      <c r="E667" s="4" t="s">
        <v>35</v>
      </c>
      <c r="F667" s="4" t="s">
        <v>21</v>
      </c>
      <c r="G667" s="4" t="s">
        <v>408</v>
      </c>
      <c r="H667" s="5">
        <f>ROUND(2600,0)</f>
        <v>2600</v>
      </c>
      <c r="I667" s="6">
        <f>ROUND(58.06,2)</f>
        <v>58.06</v>
      </c>
      <c r="J667" s="6">
        <f>ROUND(9.08595,2)</f>
        <v>9.09</v>
      </c>
      <c r="K667" s="5">
        <f>ROUND(1371578.67,0)</f>
        <v>1371579</v>
      </c>
      <c r="L667" s="7">
        <f>ROUND(0.00047668211998588,4)</f>
        <v>5.0000000000000001E-4</v>
      </c>
    </row>
    <row r="668" spans="1:12">
      <c r="A668" s="3" t="s">
        <v>1417</v>
      </c>
      <c r="B668" s="4" t="s">
        <v>1418</v>
      </c>
      <c r="C668" s="4" t="s">
        <v>406</v>
      </c>
      <c r="D668" s="4" t="s">
        <v>407</v>
      </c>
      <c r="E668" s="4" t="s">
        <v>35</v>
      </c>
      <c r="F668" s="4" t="s">
        <v>21</v>
      </c>
      <c r="G668" s="4" t="s">
        <v>408</v>
      </c>
      <c r="H668" s="5">
        <f>ROUND(9927,0)</f>
        <v>9927</v>
      </c>
      <c r="I668" s="6">
        <f>ROUND(15.17,2)</f>
        <v>15.17</v>
      </c>
      <c r="J668" s="6">
        <f>ROUND(9.08595,2)</f>
        <v>9.09</v>
      </c>
      <c r="K668" s="5">
        <f>ROUND(1368276.74,0)</f>
        <v>1368277</v>
      </c>
      <c r="L668" s="7">
        <f>ROUND(0.000475534558400919,4)</f>
        <v>5.0000000000000001E-4</v>
      </c>
    </row>
    <row r="669" spans="1:12">
      <c r="A669" s="3" t="s">
        <v>1419</v>
      </c>
      <c r="B669" s="4" t="s">
        <v>1420</v>
      </c>
      <c r="C669" s="4" t="s">
        <v>400</v>
      </c>
      <c r="D669" s="4" t="s">
        <v>1024</v>
      </c>
      <c r="E669" s="4" t="s">
        <v>1025</v>
      </c>
      <c r="F669" s="4" t="s">
        <v>1026</v>
      </c>
      <c r="G669" s="4" t="s">
        <v>408</v>
      </c>
      <c r="H669" s="5">
        <f>ROUND(10433,0)</f>
        <v>10433</v>
      </c>
      <c r="I669" s="6">
        <f>ROUND(141.7,2)</f>
        <v>141.69999999999999</v>
      </c>
      <c r="J669" s="6">
        <f>ROUND(0.92410673,2)</f>
        <v>0.92</v>
      </c>
      <c r="K669" s="5">
        <f>ROUND(1366158.82,0)</f>
        <v>1366159</v>
      </c>
      <c r="L669" s="7">
        <f>ROUND(0.000474798490818619,4)</f>
        <v>5.0000000000000001E-4</v>
      </c>
    </row>
    <row r="670" spans="1:12">
      <c r="A670" s="3" t="s">
        <v>1421</v>
      </c>
      <c r="B670" s="4" t="s">
        <v>1422</v>
      </c>
      <c r="C670" s="4" t="s">
        <v>566</v>
      </c>
      <c r="D670" s="4" t="s">
        <v>407</v>
      </c>
      <c r="E670" s="4" t="s">
        <v>35</v>
      </c>
      <c r="F670" s="4" t="s">
        <v>21</v>
      </c>
      <c r="G670" s="4" t="s">
        <v>408</v>
      </c>
      <c r="H670" s="5">
        <f>ROUND(4626,0)</f>
        <v>4626</v>
      </c>
      <c r="I670" s="6">
        <f>ROUND(32.39,2)</f>
        <v>32.39</v>
      </c>
      <c r="J670" s="6">
        <f>ROUND(9.08595,2)</f>
        <v>9.09</v>
      </c>
      <c r="K670" s="5">
        <f>ROUND(1361403.68,0)</f>
        <v>1361404</v>
      </c>
      <c r="L670" s="7">
        <f>ROUND(0.000473145876742877,4)</f>
        <v>5.0000000000000001E-4</v>
      </c>
    </row>
    <row r="671" spans="1:12">
      <c r="A671" s="3" t="s">
        <v>1423</v>
      </c>
      <c r="B671" s="4" t="s">
        <v>1424</v>
      </c>
      <c r="C671" s="4" t="s">
        <v>534</v>
      </c>
      <c r="D671" s="4" t="s">
        <v>407</v>
      </c>
      <c r="E671" s="4" t="s">
        <v>35</v>
      </c>
      <c r="F671" s="4" t="s">
        <v>21</v>
      </c>
      <c r="G671" s="4" t="s">
        <v>408</v>
      </c>
      <c r="H671" s="5">
        <f>ROUND(1834,0)</f>
        <v>1834</v>
      </c>
      <c r="I671" s="6">
        <f>ROUND(81.11,2)</f>
        <v>81.11</v>
      </c>
      <c r="J671" s="6">
        <f>ROUND(9.08595,2)</f>
        <v>9.09</v>
      </c>
      <c r="K671" s="5">
        <f>ROUND(1351587.22,0)</f>
        <v>1351587</v>
      </c>
      <c r="L671" s="7">
        <f>ROUND(0.000469734237975152,4)</f>
        <v>5.0000000000000001E-4</v>
      </c>
    </row>
    <row r="672" spans="1:12">
      <c r="A672" s="3" t="s">
        <v>1425</v>
      </c>
      <c r="B672" s="4" t="s">
        <v>1426</v>
      </c>
      <c r="C672" s="4" t="s">
        <v>566</v>
      </c>
      <c r="D672" s="4" t="s">
        <v>390</v>
      </c>
      <c r="E672" s="4" t="s">
        <v>391</v>
      </c>
      <c r="F672" s="4" t="s">
        <v>72</v>
      </c>
      <c r="G672" s="4" t="s">
        <v>408</v>
      </c>
      <c r="H672" s="5">
        <f>ROUND(71910,0)</f>
        <v>71910</v>
      </c>
      <c r="I672" s="6">
        <f>ROUND(3.06,2)</f>
        <v>3.06</v>
      </c>
      <c r="J672" s="6">
        <f>ROUND(6.12812423,2)</f>
        <v>6.13</v>
      </c>
      <c r="K672" s="5">
        <f>ROUND(1348460.64,0)</f>
        <v>1348461</v>
      </c>
      <c r="L672" s="7">
        <f>ROUND(0.000468647617998257,4)</f>
        <v>5.0000000000000001E-4</v>
      </c>
    </row>
    <row r="673" spans="1:12">
      <c r="A673" s="3" t="s">
        <v>1427</v>
      </c>
      <c r="B673" s="4" t="s">
        <v>1428</v>
      </c>
      <c r="C673" s="4" t="s">
        <v>389</v>
      </c>
      <c r="D673" s="4" t="s">
        <v>407</v>
      </c>
      <c r="E673" s="4" t="s">
        <v>35</v>
      </c>
      <c r="F673" s="4" t="s">
        <v>21</v>
      </c>
      <c r="G673" s="4" t="s">
        <v>408</v>
      </c>
      <c r="H673" s="5">
        <f>ROUND(1300,0)</f>
        <v>1300</v>
      </c>
      <c r="I673" s="6">
        <f>ROUND(114.16,2)</f>
        <v>114.16</v>
      </c>
      <c r="J673" s="6">
        <f>ROUND(9.08595,2)</f>
        <v>9.09</v>
      </c>
      <c r="K673" s="5">
        <f>ROUND(1348427.67,0)</f>
        <v>1348428</v>
      </c>
      <c r="L673" s="7">
        <f>ROUND(0.000468636159516261,4)</f>
        <v>5.0000000000000001E-4</v>
      </c>
    </row>
    <row r="674" spans="1:12">
      <c r="A674" s="3" t="s">
        <v>1429</v>
      </c>
      <c r="B674" s="4" t="s">
        <v>1430</v>
      </c>
      <c r="C674" s="4" t="s">
        <v>422</v>
      </c>
      <c r="D674" s="4" t="s">
        <v>552</v>
      </c>
      <c r="E674" s="4" t="s">
        <v>553</v>
      </c>
      <c r="F674" s="4" t="s">
        <v>26</v>
      </c>
      <c r="G674" s="4" t="s">
        <v>408</v>
      </c>
      <c r="H674" s="5">
        <f>ROUND(28000,0)</f>
        <v>28000</v>
      </c>
      <c r="I674" s="6">
        <f>ROUND(41.55,2)</f>
        <v>41.55</v>
      </c>
      <c r="J674" s="6">
        <f>ROUND(1.15901246,2)</f>
        <v>1.1599999999999999</v>
      </c>
      <c r="K674" s="5">
        <f>ROUND(1348395.1,0)</f>
        <v>1348395</v>
      </c>
      <c r="L674" s="7">
        <f>ROUND(0.000468624840051335,4)</f>
        <v>5.0000000000000001E-4</v>
      </c>
    </row>
    <row r="675" spans="1:12">
      <c r="A675" s="3" t="s">
        <v>1431</v>
      </c>
      <c r="B675" s="4" t="s">
        <v>1432</v>
      </c>
      <c r="C675" s="4" t="s">
        <v>422</v>
      </c>
      <c r="D675" s="4" t="s">
        <v>496</v>
      </c>
      <c r="E675" s="4" t="s">
        <v>497</v>
      </c>
      <c r="F675" s="4" t="s">
        <v>18</v>
      </c>
      <c r="G675" s="4" t="s">
        <v>408</v>
      </c>
      <c r="H675" s="5">
        <f>ROUND(1265,0)</f>
        <v>1265</v>
      </c>
      <c r="I675" s="6">
        <f>ROUND(107.3,2)</f>
        <v>107.3</v>
      </c>
      <c r="J675" s="6">
        <f>ROUND(9.9055,2)</f>
        <v>9.91</v>
      </c>
      <c r="K675" s="5">
        <f>ROUND(1344518.09,0)</f>
        <v>1344518</v>
      </c>
      <c r="L675" s="7">
        <f>ROUND(0.000467277413624817,4)</f>
        <v>5.0000000000000001E-4</v>
      </c>
    </row>
    <row r="676" spans="1:12">
      <c r="A676" s="3" t="s">
        <v>1433</v>
      </c>
      <c r="B676" s="4" t="s">
        <v>1434</v>
      </c>
      <c r="C676" s="4" t="s">
        <v>422</v>
      </c>
      <c r="D676" s="4" t="s">
        <v>569</v>
      </c>
      <c r="E676" s="4" t="s">
        <v>570</v>
      </c>
      <c r="F676" s="4" t="s">
        <v>19</v>
      </c>
      <c r="G676" s="4" t="s">
        <v>408</v>
      </c>
      <c r="H676" s="5">
        <f>ROUND(995,0)</f>
        <v>995</v>
      </c>
      <c r="I676" s="6">
        <f>ROUND(1012.5,2)</f>
        <v>1012.5</v>
      </c>
      <c r="J676" s="6">
        <f>ROUND(1.3267035,2)</f>
        <v>1.33</v>
      </c>
      <c r="K676" s="5">
        <f>ROUND(1336570.86,0)</f>
        <v>1336571</v>
      </c>
      <c r="L676" s="7">
        <f>ROUND(0.000464515412051539,4)</f>
        <v>5.0000000000000001E-4</v>
      </c>
    </row>
    <row r="677" spans="1:12">
      <c r="A677" s="3" t="s">
        <v>1435</v>
      </c>
      <c r="B677" s="4" t="s">
        <v>1436</v>
      </c>
      <c r="C677" s="4" t="s">
        <v>534</v>
      </c>
      <c r="D677" s="4" t="s">
        <v>407</v>
      </c>
      <c r="E677" s="4" t="s">
        <v>35</v>
      </c>
      <c r="F677" s="4" t="s">
        <v>21</v>
      </c>
      <c r="G677" s="4" t="s">
        <v>408</v>
      </c>
      <c r="H677" s="5">
        <f>ROUND(1018,0)</f>
        <v>1018</v>
      </c>
      <c r="I677" s="6">
        <f>ROUND(144.41,2)</f>
        <v>144.41</v>
      </c>
      <c r="J677" s="6">
        <f>ROUND(9.08595,2)</f>
        <v>9.09</v>
      </c>
      <c r="K677" s="5">
        <f>ROUND(1335719.88,0)</f>
        <v>1335720</v>
      </c>
      <c r="L677" s="7">
        <f>ROUND(0.000464219660185942,4)</f>
        <v>5.0000000000000001E-4</v>
      </c>
    </row>
    <row r="678" spans="1:12">
      <c r="A678" s="3" t="s">
        <v>1437</v>
      </c>
      <c r="B678" s="4" t="s">
        <v>1438</v>
      </c>
      <c r="C678" s="4" t="s">
        <v>430</v>
      </c>
      <c r="D678" s="4" t="s">
        <v>514</v>
      </c>
      <c r="E678" s="4" t="s">
        <v>515</v>
      </c>
      <c r="F678" s="4" t="s">
        <v>190</v>
      </c>
      <c r="G678" s="4" t="s">
        <v>408</v>
      </c>
      <c r="H678" s="5">
        <f>ROUND(10508,0)</f>
        <v>10508</v>
      </c>
      <c r="I678" s="6">
        <f>ROUND(18.48,2)</f>
        <v>18.48</v>
      </c>
      <c r="J678" s="6">
        <f>ROUND(6.86237833,2)</f>
        <v>6.86</v>
      </c>
      <c r="K678" s="5">
        <f>ROUND(1332590.43,0)</f>
        <v>1332590</v>
      </c>
      <c r="L678" s="7">
        <f>ROUND(0.000463132042761569,4)</f>
        <v>5.0000000000000001E-4</v>
      </c>
    </row>
    <row r="679" spans="1:12">
      <c r="A679" s="3" t="s">
        <v>1439</v>
      </c>
      <c r="B679" s="4" t="s">
        <v>1440</v>
      </c>
      <c r="C679" s="4" t="s">
        <v>400</v>
      </c>
      <c r="D679" s="4" t="s">
        <v>407</v>
      </c>
      <c r="E679" s="4" t="s">
        <v>35</v>
      </c>
      <c r="F679" s="4" t="s">
        <v>21</v>
      </c>
      <c r="G679" s="4" t="s">
        <v>408</v>
      </c>
      <c r="H679" s="5">
        <f>ROUND(16666,0)</f>
        <v>16666</v>
      </c>
      <c r="I679" s="6">
        <f>ROUND(8.8,2)</f>
        <v>8.8000000000000007</v>
      </c>
      <c r="J679" s="6">
        <f>ROUND(9.08595,2)</f>
        <v>9.09</v>
      </c>
      <c r="K679" s="5">
        <f>ROUND(1332552.7,0)</f>
        <v>1332553</v>
      </c>
      <c r="L679" s="7">
        <f>ROUND(0.00046311892997644,4)</f>
        <v>5.0000000000000001E-4</v>
      </c>
    </row>
    <row r="680" spans="1:12">
      <c r="A680" s="3" t="s">
        <v>1441</v>
      </c>
      <c r="B680" s="4" t="s">
        <v>1442</v>
      </c>
      <c r="C680" s="4" t="s">
        <v>545</v>
      </c>
      <c r="D680" s="4" t="s">
        <v>789</v>
      </c>
      <c r="E680" s="4" t="s">
        <v>790</v>
      </c>
      <c r="F680" s="4" t="s">
        <v>791</v>
      </c>
      <c r="G680" s="4" t="s">
        <v>408</v>
      </c>
      <c r="H680" s="5">
        <f>ROUND(5880,0)</f>
        <v>5880</v>
      </c>
      <c r="I680" s="6">
        <f>ROUND(1762.15,2)</f>
        <v>1762.15</v>
      </c>
      <c r="J680" s="6">
        <f>ROUND(0.12820804,2)</f>
        <v>0.13</v>
      </c>
      <c r="K680" s="5">
        <f>ROUND(1328420.17,0)</f>
        <v>1328420</v>
      </c>
      <c r="L680" s="7">
        <f>ROUND(0.000461682699445599,4)</f>
        <v>5.0000000000000001E-4</v>
      </c>
    </row>
    <row r="681" spans="1:12">
      <c r="A681" s="3" t="s">
        <v>1443</v>
      </c>
      <c r="B681" s="4" t="s">
        <v>1444</v>
      </c>
      <c r="C681" s="4" t="s">
        <v>445</v>
      </c>
      <c r="D681" s="4" t="s">
        <v>423</v>
      </c>
      <c r="E681" s="4" t="s">
        <v>25</v>
      </c>
      <c r="F681" s="4" t="s">
        <v>16</v>
      </c>
      <c r="G681" s="4" t="s">
        <v>408</v>
      </c>
      <c r="H681" s="5">
        <f>ROUND(2495,0)</f>
        <v>2495</v>
      </c>
      <c r="I681" s="6">
        <f>ROUND(58.2,2)</f>
        <v>58.2</v>
      </c>
      <c r="J681" s="6">
        <f>ROUND(9.11185723,2)</f>
        <v>9.11</v>
      </c>
      <c r="K681" s="5">
        <f>ROUND(1323123.68,0)</f>
        <v>1323124</v>
      </c>
      <c r="L681" s="7">
        <f>ROUND(0.000459841943142729,4)</f>
        <v>5.0000000000000001E-4</v>
      </c>
    </row>
    <row r="682" spans="1:12">
      <c r="A682" s="3" t="s">
        <v>1445</v>
      </c>
      <c r="B682" s="4" t="s">
        <v>1446</v>
      </c>
      <c r="C682" s="4" t="s">
        <v>566</v>
      </c>
      <c r="D682" s="4" t="s">
        <v>489</v>
      </c>
      <c r="E682" s="4" t="s">
        <v>490</v>
      </c>
      <c r="F682" s="4" t="s">
        <v>45</v>
      </c>
      <c r="G682" s="4" t="s">
        <v>408</v>
      </c>
      <c r="H682" s="5">
        <f>ROUND(53,0)</f>
        <v>53</v>
      </c>
      <c r="I682" s="6">
        <f>ROUND(296100,2)</f>
        <v>296100</v>
      </c>
      <c r="J682" s="6">
        <f>ROUND(8.407077,2)</f>
        <v>8.41</v>
      </c>
      <c r="K682" s="5">
        <f>ROUND(1319347.81,0)</f>
        <v>1319348</v>
      </c>
      <c r="L682" s="7">
        <f>ROUND(0.000458529667182363,4)</f>
        <v>5.0000000000000001E-4</v>
      </c>
    </row>
    <row r="683" spans="1:12">
      <c r="A683" s="3" t="s">
        <v>1447</v>
      </c>
      <c r="B683" s="4" t="s">
        <v>1448</v>
      </c>
      <c r="C683" s="4" t="s">
        <v>545</v>
      </c>
      <c r="D683" s="4" t="s">
        <v>423</v>
      </c>
      <c r="E683" s="4" t="s">
        <v>25</v>
      </c>
      <c r="F683" s="4" t="s">
        <v>16</v>
      </c>
      <c r="G683" s="4" t="s">
        <v>408</v>
      </c>
      <c r="H683" s="5">
        <f>ROUND(52,0)</f>
        <v>52</v>
      </c>
      <c r="I683" s="6">
        <f>ROUND(2784,2)</f>
        <v>2784</v>
      </c>
      <c r="J683" s="6">
        <f>ROUND(9.11185723,2)</f>
        <v>9.11</v>
      </c>
      <c r="K683" s="5">
        <f>ROUND(1319105.35,0)</f>
        <v>1319105</v>
      </c>
      <c r="L683" s="7">
        <f>ROUND(0.000458445401985376,4)</f>
        <v>5.0000000000000001E-4</v>
      </c>
    </row>
    <row r="684" spans="1:12">
      <c r="A684" s="3" t="s">
        <v>1449</v>
      </c>
      <c r="B684" s="4" t="s">
        <v>1450</v>
      </c>
      <c r="C684" s="4" t="s">
        <v>566</v>
      </c>
      <c r="D684" s="4" t="s">
        <v>407</v>
      </c>
      <c r="E684" s="4" t="s">
        <v>35</v>
      </c>
      <c r="F684" s="4" t="s">
        <v>21</v>
      </c>
      <c r="G684" s="4" t="s">
        <v>408</v>
      </c>
      <c r="H684" s="5">
        <f>ROUND(1893,0)</f>
        <v>1893</v>
      </c>
      <c r="I684" s="6">
        <f>ROUND(76.68,2)</f>
        <v>76.680000000000007</v>
      </c>
      <c r="J684" s="6">
        <f>ROUND(9.08595,2)</f>
        <v>9.09</v>
      </c>
      <c r="K684" s="5">
        <f>ROUND(1318873.25,0)</f>
        <v>1318873</v>
      </c>
      <c r="L684" s="7">
        <f>ROUND(0.000458364737330501,4)</f>
        <v>5.0000000000000001E-4</v>
      </c>
    </row>
    <row r="685" spans="1:12">
      <c r="A685" s="3" t="s">
        <v>1451</v>
      </c>
      <c r="B685" s="4" t="s">
        <v>1452</v>
      </c>
      <c r="C685" s="4" t="s">
        <v>400</v>
      </c>
      <c r="D685" s="4" t="s">
        <v>1333</v>
      </c>
      <c r="E685" s="4" t="s">
        <v>3</v>
      </c>
      <c r="F685" s="4" t="s">
        <v>1334</v>
      </c>
      <c r="G685" s="4" t="s">
        <v>408</v>
      </c>
      <c r="H685" s="5">
        <f>ROUND(500000,0)</f>
        <v>500000</v>
      </c>
      <c r="I685" s="6">
        <f>ROUND(4120,2)</f>
        <v>4120</v>
      </c>
      <c r="J685" s="6">
        <f>ROUND(6.4008,2)</f>
        <v>6.4</v>
      </c>
      <c r="K685" s="5">
        <f>ROUND(1318564.8,0)</f>
        <v>1318565</v>
      </c>
      <c r="L685" s="7">
        <f>ROUND(0.000458257537792388,4)</f>
        <v>5.0000000000000001E-4</v>
      </c>
    </row>
    <row r="686" spans="1:12">
      <c r="A686" s="3" t="s">
        <v>1453</v>
      </c>
      <c r="B686" s="4" t="s">
        <v>1454</v>
      </c>
      <c r="C686" s="4" t="s">
        <v>545</v>
      </c>
      <c r="D686" s="4" t="s">
        <v>390</v>
      </c>
      <c r="E686" s="4" t="s">
        <v>391</v>
      </c>
      <c r="F686" s="4" t="s">
        <v>72</v>
      </c>
      <c r="G686" s="4" t="s">
        <v>408</v>
      </c>
      <c r="H686" s="5">
        <f>ROUND(6190,0)</f>
        <v>6190</v>
      </c>
      <c r="I686" s="6">
        <f>ROUND(34.75,2)</f>
        <v>34.75</v>
      </c>
      <c r="J686" s="6">
        <f>ROUND(6.12812423,2)</f>
        <v>6.13</v>
      </c>
      <c r="K686" s="5">
        <f>ROUND(1318174.84,0)</f>
        <v>1318175</v>
      </c>
      <c r="L686" s="7">
        <f>ROUND(0.000458122010050833,4)</f>
        <v>5.0000000000000001E-4</v>
      </c>
    </row>
    <row r="687" spans="1:12">
      <c r="A687" s="3" t="s">
        <v>1455</v>
      </c>
      <c r="B687" s="4" t="s">
        <v>1456</v>
      </c>
      <c r="C687" s="4" t="s">
        <v>566</v>
      </c>
      <c r="D687" s="4" t="s">
        <v>407</v>
      </c>
      <c r="E687" s="4" t="s">
        <v>35</v>
      </c>
      <c r="F687" s="4" t="s">
        <v>21</v>
      </c>
      <c r="G687" s="4" t="s">
        <v>408</v>
      </c>
      <c r="H687" s="5">
        <f>ROUND(1618,0)</f>
        <v>1618</v>
      </c>
      <c r="I687" s="6">
        <f>ROUND(89.5,2)</f>
        <v>89.5</v>
      </c>
      <c r="J687" s="6">
        <f>ROUND(9.08595,2)</f>
        <v>9.09</v>
      </c>
      <c r="K687" s="5">
        <f>ROUND(1315745.51,0)</f>
        <v>1315746</v>
      </c>
      <c r="L687" s="7">
        <f>ROUND(0.000457277714204103,4)</f>
        <v>5.0000000000000001E-4</v>
      </c>
    </row>
    <row r="688" spans="1:12">
      <c r="A688" s="3" t="s">
        <v>1457</v>
      </c>
      <c r="B688" s="4" t="s">
        <v>1458</v>
      </c>
      <c r="C688" s="4" t="s">
        <v>545</v>
      </c>
      <c r="D688" s="4" t="s">
        <v>514</v>
      </c>
      <c r="E688" s="4" t="s">
        <v>515</v>
      </c>
      <c r="F688" s="4" t="s">
        <v>190</v>
      </c>
      <c r="G688" s="4" t="s">
        <v>408</v>
      </c>
      <c r="H688" s="5">
        <f>ROUND(5518,0)</f>
        <v>5518</v>
      </c>
      <c r="I688" s="6">
        <f>ROUND(34.74,2)</f>
        <v>34.74</v>
      </c>
      <c r="J688" s="6">
        <f>ROUND(6.86237833,2)</f>
        <v>6.86</v>
      </c>
      <c r="K688" s="5">
        <f>ROUND(1315485.81,0)</f>
        <v>1315486</v>
      </c>
      <c r="L688" s="7">
        <f>ROUND(0.000457187457371398,4)</f>
        <v>5.0000000000000001E-4</v>
      </c>
    </row>
    <row r="689" spans="1:12">
      <c r="A689" s="3" t="s">
        <v>1459</v>
      </c>
      <c r="B689" s="4" t="s">
        <v>1460</v>
      </c>
      <c r="C689" s="4" t="s">
        <v>566</v>
      </c>
      <c r="D689" s="4" t="s">
        <v>407</v>
      </c>
      <c r="E689" s="4" t="s">
        <v>35</v>
      </c>
      <c r="F689" s="4" t="s">
        <v>21</v>
      </c>
      <c r="G689" s="4" t="s">
        <v>408</v>
      </c>
      <c r="H689" s="5">
        <f>ROUND(600,0)</f>
        <v>600</v>
      </c>
      <c r="I689" s="6">
        <f>ROUND(241.15,2)</f>
        <v>241.15</v>
      </c>
      <c r="J689" s="6">
        <f>ROUND(9.08595,2)</f>
        <v>9.09</v>
      </c>
      <c r="K689" s="5">
        <f>ROUND(1314646.11,0)</f>
        <v>1314646</v>
      </c>
      <c r="L689" s="7">
        <f>ROUND(0.000456895625787175,4)</f>
        <v>5.0000000000000001E-4</v>
      </c>
    </row>
    <row r="690" spans="1:12">
      <c r="A690" s="3" t="s">
        <v>1461</v>
      </c>
      <c r="B690" s="4" t="s">
        <v>1462</v>
      </c>
      <c r="C690" s="4" t="s">
        <v>445</v>
      </c>
      <c r="D690" s="4" t="s">
        <v>486</v>
      </c>
      <c r="E690" s="4" t="s">
        <v>30</v>
      </c>
      <c r="F690" s="4" t="s">
        <v>20</v>
      </c>
      <c r="G690" s="4" t="s">
        <v>408</v>
      </c>
      <c r="H690" s="5">
        <f>ROUND(5960,0)</f>
        <v>5960</v>
      </c>
      <c r="I690" s="6">
        <f>ROUND(1959,2)</f>
        <v>1959</v>
      </c>
      <c r="J690" s="6">
        <f>ROUND(11.19645077,2)</f>
        <v>11.2</v>
      </c>
      <c r="K690" s="5">
        <f>ROUND(1307257.28,0)</f>
        <v>1307257</v>
      </c>
      <c r="L690" s="7">
        <f>ROUND(0.000454327692043633,4)</f>
        <v>5.0000000000000001E-4</v>
      </c>
    </row>
    <row r="691" spans="1:12">
      <c r="A691" s="3" t="s">
        <v>1463</v>
      </c>
      <c r="B691" s="4" t="s">
        <v>1464</v>
      </c>
      <c r="C691" s="4" t="s">
        <v>422</v>
      </c>
      <c r="D691" s="4" t="s">
        <v>489</v>
      </c>
      <c r="E691" s="4" t="s">
        <v>490</v>
      </c>
      <c r="F691" s="4" t="s">
        <v>45</v>
      </c>
      <c r="G691" s="4" t="s">
        <v>408</v>
      </c>
      <c r="H691" s="5">
        <f>ROUND(2900,0)</f>
        <v>2900</v>
      </c>
      <c r="I691" s="6">
        <f>ROUND(5350,2)</f>
        <v>5350</v>
      </c>
      <c r="J691" s="6">
        <f>ROUND(8.407077,2)</f>
        <v>8.41</v>
      </c>
      <c r="K691" s="5">
        <f>ROUND(1304358,0)</f>
        <v>1304358</v>
      </c>
      <c r="L691" s="7">
        <f>ROUND(0.000453320068516772,4)</f>
        <v>5.0000000000000001E-4</v>
      </c>
    </row>
    <row r="692" spans="1:12">
      <c r="A692" s="3" t="s">
        <v>1465</v>
      </c>
      <c r="B692" s="4" t="s">
        <v>1466</v>
      </c>
      <c r="C692" s="4" t="s">
        <v>406</v>
      </c>
      <c r="D692" s="4" t="s">
        <v>401</v>
      </c>
      <c r="E692" s="4" t="s">
        <v>402</v>
      </c>
      <c r="F692" s="4" t="s">
        <v>403</v>
      </c>
      <c r="G692" s="4" t="s">
        <v>408</v>
      </c>
      <c r="H692" s="5">
        <f>ROUND(1000,0)</f>
        <v>1000</v>
      </c>
      <c r="I692" s="6">
        <f>ROUND(4450,2)</f>
        <v>4450</v>
      </c>
      <c r="J692" s="6">
        <f>ROUND(0.29286371,2)</f>
        <v>0.28999999999999998</v>
      </c>
      <c r="K692" s="5">
        <f>ROUND(1303243.51,0)</f>
        <v>1303244</v>
      </c>
      <c r="L692" s="7">
        <f>ROUND(0.000452932735680878,4)</f>
        <v>5.0000000000000001E-4</v>
      </c>
    </row>
    <row r="693" spans="1:12">
      <c r="A693" s="3" t="s">
        <v>1467</v>
      </c>
      <c r="B693" s="4" t="s">
        <v>1468</v>
      </c>
      <c r="C693" s="4" t="s">
        <v>400</v>
      </c>
      <c r="D693" s="4" t="s">
        <v>407</v>
      </c>
      <c r="E693" s="4" t="s">
        <v>35</v>
      </c>
      <c r="F693" s="4" t="s">
        <v>21</v>
      </c>
      <c r="G693" s="4" t="s">
        <v>408</v>
      </c>
      <c r="H693" s="5">
        <f>ROUND(4200,0)</f>
        <v>4200</v>
      </c>
      <c r="I693" s="6">
        <f>ROUND(34.09,2)</f>
        <v>34.090000000000003</v>
      </c>
      <c r="J693" s="6">
        <f>ROUND(9.08595,2)</f>
        <v>9.09</v>
      </c>
      <c r="K693" s="5">
        <f>ROUND(1300908.15,0)</f>
        <v>1300908</v>
      </c>
      <c r="L693" s="7">
        <f>ROUND(0.00045212109841932,4)</f>
        <v>5.0000000000000001E-4</v>
      </c>
    </row>
    <row r="694" spans="1:12">
      <c r="A694" s="3" t="s">
        <v>1469</v>
      </c>
      <c r="B694" s="4" t="s">
        <v>1470</v>
      </c>
      <c r="C694" s="4" t="s">
        <v>534</v>
      </c>
      <c r="D694" s="4" t="s">
        <v>1024</v>
      </c>
      <c r="E694" s="4" t="s">
        <v>1025</v>
      </c>
      <c r="F694" s="4" t="s">
        <v>1026</v>
      </c>
      <c r="G694" s="4" t="s">
        <v>408</v>
      </c>
      <c r="H694" s="5">
        <f>ROUND(4637,0)</f>
        <v>4637</v>
      </c>
      <c r="I694" s="6">
        <f>ROUND(303.2,2)</f>
        <v>303.2</v>
      </c>
      <c r="J694" s="6">
        <f>ROUND(0.92410673,2)</f>
        <v>0.92</v>
      </c>
      <c r="K694" s="5">
        <f>ROUND(1299237.14,0)</f>
        <v>1299237</v>
      </c>
      <c r="L694" s="7">
        <f>ROUND(0.000451540351133918,4)</f>
        <v>5.0000000000000001E-4</v>
      </c>
    </row>
    <row r="695" spans="1:12">
      <c r="A695" s="3" t="s">
        <v>1471</v>
      </c>
      <c r="B695" s="4" t="s">
        <v>1472</v>
      </c>
      <c r="C695" s="4" t="s">
        <v>406</v>
      </c>
      <c r="D695" s="4" t="s">
        <v>401</v>
      </c>
      <c r="E695" s="4" t="s">
        <v>402</v>
      </c>
      <c r="F695" s="4" t="s">
        <v>403</v>
      </c>
      <c r="G695" s="4" t="s">
        <v>408</v>
      </c>
      <c r="H695" s="5">
        <f>ROUND(12000,0)</f>
        <v>12000</v>
      </c>
      <c r="I695" s="6">
        <f>ROUND(369,2)</f>
        <v>369</v>
      </c>
      <c r="J695" s="6">
        <f>ROUND(0.29286371,2)</f>
        <v>0.28999999999999998</v>
      </c>
      <c r="K695" s="5">
        <f>ROUND(1296800.51,0)</f>
        <v>1296801</v>
      </c>
      <c r="L695" s="7">
        <f>ROUND(0.00045069351822566,4)</f>
        <v>5.0000000000000001E-4</v>
      </c>
    </row>
    <row r="696" spans="1:12">
      <c r="A696" s="3" t="s">
        <v>1473</v>
      </c>
      <c r="B696" s="4" t="s">
        <v>1474</v>
      </c>
      <c r="C696" s="4" t="s">
        <v>400</v>
      </c>
      <c r="D696" s="4" t="s">
        <v>486</v>
      </c>
      <c r="E696" s="4" t="s">
        <v>30</v>
      </c>
      <c r="F696" s="4" t="s">
        <v>20</v>
      </c>
      <c r="G696" s="4" t="s">
        <v>408</v>
      </c>
      <c r="H696" s="5">
        <f>ROUND(16890,0)</f>
        <v>16890</v>
      </c>
      <c r="I696" s="6">
        <f>ROUND(684.2,2)</f>
        <v>684.2</v>
      </c>
      <c r="J696" s="6">
        <f>ROUND(11.19645077,2)</f>
        <v>11.2</v>
      </c>
      <c r="K696" s="5">
        <f>ROUND(1293877.3,0)</f>
        <v>1293877</v>
      </c>
      <c r="L696" s="7">
        <f>ROUND(0.000449677578002585,4)</f>
        <v>4.0000000000000002E-4</v>
      </c>
    </row>
    <row r="697" spans="1:12">
      <c r="A697" s="3" t="s">
        <v>1475</v>
      </c>
      <c r="B697" s="4" t="s">
        <v>1476</v>
      </c>
      <c r="C697" s="4" t="s">
        <v>415</v>
      </c>
      <c r="D697" s="4" t="s">
        <v>739</v>
      </c>
      <c r="E697" s="4" t="s">
        <v>740</v>
      </c>
      <c r="F697" s="4" t="s">
        <v>741</v>
      </c>
      <c r="G697" s="4" t="s">
        <v>408</v>
      </c>
      <c r="H697" s="5">
        <f>ROUND(1082,0)</f>
        <v>1082</v>
      </c>
      <c r="I697" s="6">
        <f>ROUND(157000,2)</f>
        <v>157000</v>
      </c>
      <c r="J697" s="6">
        <f>ROUND(0.00759599,2)</f>
        <v>0.01</v>
      </c>
      <c r="K697" s="5">
        <f>ROUND(1290361.21,0)</f>
        <v>1290361</v>
      </c>
      <c r="L697" s="7">
        <f>ROUND(0.000448455586678339,4)</f>
        <v>4.0000000000000002E-4</v>
      </c>
    </row>
    <row r="698" spans="1:12">
      <c r="A698" s="3" t="s">
        <v>1477</v>
      </c>
      <c r="B698" s="4" t="s">
        <v>1478</v>
      </c>
      <c r="C698" s="4" t="s">
        <v>493</v>
      </c>
      <c r="D698" s="4" t="s">
        <v>569</v>
      </c>
      <c r="E698" s="4" t="s">
        <v>570</v>
      </c>
      <c r="F698" s="4" t="s">
        <v>19</v>
      </c>
      <c r="G698" s="4" t="s">
        <v>408</v>
      </c>
      <c r="H698" s="5">
        <f>ROUND(1522,0)</f>
        <v>1522</v>
      </c>
      <c r="I698" s="6">
        <f>ROUND(636.6,2)</f>
        <v>636.6</v>
      </c>
      <c r="J698" s="6">
        <f>ROUND(1.3267035,2)</f>
        <v>1.33</v>
      </c>
      <c r="K698" s="5">
        <f>ROUND(1285449.92,0)</f>
        <v>1285450</v>
      </c>
      <c r="L698" s="7">
        <f>ROUND(0.000446748703813891,4)</f>
        <v>4.0000000000000002E-4</v>
      </c>
    </row>
    <row r="699" spans="1:12">
      <c r="A699" s="3" t="s">
        <v>1479</v>
      </c>
      <c r="B699" s="4" t="s">
        <v>1480</v>
      </c>
      <c r="C699" s="4" t="s">
        <v>566</v>
      </c>
      <c r="D699" s="4" t="s">
        <v>489</v>
      </c>
      <c r="E699" s="4" t="s">
        <v>490</v>
      </c>
      <c r="F699" s="4" t="s">
        <v>45</v>
      </c>
      <c r="G699" s="4" t="s">
        <v>408</v>
      </c>
      <c r="H699" s="5">
        <f>ROUND(5700,0)</f>
        <v>5700</v>
      </c>
      <c r="I699" s="6">
        <f>ROUND(2679,2)</f>
        <v>2679</v>
      </c>
      <c r="J699" s="6">
        <f>ROUND(8.407077,2)</f>
        <v>8.41</v>
      </c>
      <c r="K699" s="5">
        <f>ROUND(1283785.88,0)</f>
        <v>1283786</v>
      </c>
      <c r="L699" s="7">
        <f>ROUND(0.000446170378900934,4)</f>
        <v>4.0000000000000002E-4</v>
      </c>
    </row>
    <row r="700" spans="1:12">
      <c r="A700" s="3" t="s">
        <v>1481</v>
      </c>
      <c r="B700" s="4" t="s">
        <v>1482</v>
      </c>
      <c r="C700" s="4" t="s">
        <v>445</v>
      </c>
      <c r="D700" s="4" t="s">
        <v>407</v>
      </c>
      <c r="E700" s="4" t="s">
        <v>35</v>
      </c>
      <c r="F700" s="4" t="s">
        <v>21</v>
      </c>
      <c r="G700" s="4" t="s">
        <v>408</v>
      </c>
      <c r="H700" s="5">
        <f>ROUND(200,0)</f>
        <v>200</v>
      </c>
      <c r="I700" s="6">
        <f>ROUND(704.4,2)</f>
        <v>704.4</v>
      </c>
      <c r="J700" s="6">
        <f>ROUND(9.08595,2)</f>
        <v>9.09</v>
      </c>
      <c r="K700" s="5">
        <f>ROUND(1280028.64,0)</f>
        <v>1280029</v>
      </c>
      <c r="L700" s="7">
        <f>ROUND(0.000444864577660604,4)</f>
        <v>4.0000000000000002E-4</v>
      </c>
    </row>
    <row r="701" spans="1:12">
      <c r="A701" s="3" t="s">
        <v>1483</v>
      </c>
      <c r="B701" s="4" t="s">
        <v>1484</v>
      </c>
      <c r="C701" s="4" t="s">
        <v>422</v>
      </c>
      <c r="D701" s="4" t="s">
        <v>407</v>
      </c>
      <c r="E701" s="4" t="s">
        <v>35</v>
      </c>
      <c r="F701" s="4" t="s">
        <v>21</v>
      </c>
      <c r="G701" s="4" t="s">
        <v>408</v>
      </c>
      <c r="H701" s="5">
        <f>ROUND(900,0)</f>
        <v>900</v>
      </c>
      <c r="I701" s="6">
        <f>ROUND(156.3,2)</f>
        <v>156.30000000000001</v>
      </c>
      <c r="J701" s="6">
        <f>ROUND(9.08595,2)</f>
        <v>9.09</v>
      </c>
      <c r="K701" s="5">
        <f>ROUND(1278120.59,0)</f>
        <v>1278121</v>
      </c>
      <c r="L701" s="7">
        <f>ROUND(0.000444201448859513,4)</f>
        <v>4.0000000000000002E-4</v>
      </c>
    </row>
    <row r="702" spans="1:12">
      <c r="A702" s="3" t="s">
        <v>1485</v>
      </c>
      <c r="B702" s="4" t="s">
        <v>1486</v>
      </c>
      <c r="C702" s="4" t="s">
        <v>545</v>
      </c>
      <c r="D702" s="4" t="s">
        <v>577</v>
      </c>
      <c r="E702" s="4" t="s">
        <v>578</v>
      </c>
      <c r="F702" s="4" t="s">
        <v>18</v>
      </c>
      <c r="G702" s="4" t="s">
        <v>408</v>
      </c>
      <c r="H702" s="5">
        <f>ROUND(1574,0)</f>
        <v>1574</v>
      </c>
      <c r="I702" s="6">
        <f>ROUND(81.79,2)</f>
        <v>81.790000000000006</v>
      </c>
      <c r="J702" s="6">
        <f>ROUND(9.9055,2)</f>
        <v>9.91</v>
      </c>
      <c r="K702" s="5">
        <f>ROUND(1275208.91,0)</f>
        <v>1275209</v>
      </c>
      <c r="L702" s="7">
        <f>ROUND(0.000443189515803482,4)</f>
        <v>4.0000000000000002E-4</v>
      </c>
    </row>
    <row r="703" spans="1:12">
      <c r="A703" s="3" t="s">
        <v>1487</v>
      </c>
      <c r="B703" s="4" t="s">
        <v>1488</v>
      </c>
      <c r="C703" s="4" t="s">
        <v>389</v>
      </c>
      <c r="D703" s="4" t="s">
        <v>407</v>
      </c>
      <c r="E703" s="4" t="s">
        <v>35</v>
      </c>
      <c r="F703" s="4" t="s">
        <v>21</v>
      </c>
      <c r="G703" s="4" t="s">
        <v>408</v>
      </c>
      <c r="H703" s="5">
        <f>ROUND(1507,0)</f>
        <v>1507</v>
      </c>
      <c r="I703" s="6">
        <f>ROUND(93.11,2)</f>
        <v>93.11</v>
      </c>
      <c r="J703" s="6">
        <f>ROUND(9.08595,2)</f>
        <v>9.09</v>
      </c>
      <c r="K703" s="5">
        <f>ROUND(1274911.16,0)</f>
        <v>1274911</v>
      </c>
      <c r="L703" s="7">
        <f>ROUND(0.000443086034971992,4)</f>
        <v>4.0000000000000002E-4</v>
      </c>
    </row>
    <row r="704" spans="1:12">
      <c r="A704" s="3" t="s">
        <v>1489</v>
      </c>
      <c r="B704" s="4" t="s">
        <v>1490</v>
      </c>
      <c r="C704" s="4" t="s">
        <v>534</v>
      </c>
      <c r="D704" s="4" t="s">
        <v>486</v>
      </c>
      <c r="E704" s="4" t="s">
        <v>30</v>
      </c>
      <c r="F704" s="4" t="s">
        <v>20</v>
      </c>
      <c r="G704" s="4" t="s">
        <v>408</v>
      </c>
      <c r="H704" s="5">
        <f>ROUND(7251,0)</f>
        <v>7251</v>
      </c>
      <c r="I704" s="6">
        <f>ROUND(1570,2)</f>
        <v>1570</v>
      </c>
      <c r="J704" s="6">
        <f>ROUND(11.19645077,2)</f>
        <v>11.2</v>
      </c>
      <c r="K704" s="5">
        <f>ROUND(1274611.79,0)</f>
        <v>1274612</v>
      </c>
      <c r="L704" s="7">
        <f>ROUND(0.000442981991121368,4)</f>
        <v>4.0000000000000002E-4</v>
      </c>
    </row>
    <row r="705" spans="1:12">
      <c r="A705" s="3" t="s">
        <v>1491</v>
      </c>
      <c r="B705" s="4" t="s">
        <v>1492</v>
      </c>
      <c r="C705" s="4" t="s">
        <v>534</v>
      </c>
      <c r="D705" s="4" t="s">
        <v>1221</v>
      </c>
      <c r="E705" s="4" t="s">
        <v>1222</v>
      </c>
      <c r="F705" s="4" t="s">
        <v>1223</v>
      </c>
      <c r="G705" s="4" t="s">
        <v>408</v>
      </c>
      <c r="H705" s="5">
        <f>ROUND(50400,0)</f>
        <v>50400</v>
      </c>
      <c r="I705" s="6">
        <f>ROUND(3.84,2)</f>
        <v>3.84</v>
      </c>
      <c r="J705" s="6">
        <f>ROUND(6.57015886,2)</f>
        <v>6.57</v>
      </c>
      <c r="K705" s="5">
        <f>ROUND(1271562.27,0)</f>
        <v>1271562</v>
      </c>
      <c r="L705" s="7">
        <f>ROUND(0.000441922152783011,4)</f>
        <v>4.0000000000000002E-4</v>
      </c>
    </row>
    <row r="706" spans="1:12">
      <c r="A706" s="3" t="s">
        <v>1493</v>
      </c>
      <c r="B706" s="4" t="s">
        <v>1494</v>
      </c>
      <c r="C706" s="4" t="s">
        <v>400</v>
      </c>
      <c r="D706" s="4" t="s">
        <v>401</v>
      </c>
      <c r="E706" s="4" t="s">
        <v>402</v>
      </c>
      <c r="F706" s="4" t="s">
        <v>403</v>
      </c>
      <c r="G706" s="4" t="s">
        <v>408</v>
      </c>
      <c r="H706" s="5">
        <f>ROUND(151000,0)</f>
        <v>151000</v>
      </c>
      <c r="I706" s="6">
        <f>ROUND(28.75,2)</f>
        <v>28.75</v>
      </c>
      <c r="J706" s="6">
        <f>ROUND(0.29286371,2)</f>
        <v>0.28999999999999998</v>
      </c>
      <c r="K706" s="5">
        <f>ROUND(1271394.58,0)</f>
        <v>1271395</v>
      </c>
      <c r="L706" s="7">
        <f>ROUND(0.000441863873351835,4)</f>
        <v>4.0000000000000002E-4</v>
      </c>
    </row>
    <row r="707" spans="1:12">
      <c r="A707" s="3" t="s">
        <v>1495</v>
      </c>
      <c r="B707" s="4" t="s">
        <v>1496</v>
      </c>
      <c r="C707" s="4" t="s">
        <v>422</v>
      </c>
      <c r="D707" s="4" t="s">
        <v>407</v>
      </c>
      <c r="E707" s="4" t="s">
        <v>35</v>
      </c>
      <c r="F707" s="4" t="s">
        <v>21</v>
      </c>
      <c r="G707" s="4" t="s">
        <v>408</v>
      </c>
      <c r="H707" s="5">
        <f>ROUND(4989,0)</f>
        <v>4989</v>
      </c>
      <c r="I707" s="6">
        <f>ROUND(27.935,2)</f>
        <v>27.94</v>
      </c>
      <c r="J707" s="6">
        <f>ROUND(9.08595,2)</f>
        <v>9.09</v>
      </c>
      <c r="K707" s="5">
        <f>ROUND(1266288.14,0)</f>
        <v>1266288</v>
      </c>
      <c r="L707" s="7">
        <f>ROUND(0.000440089167534355,4)</f>
        <v>4.0000000000000002E-4</v>
      </c>
    </row>
    <row r="708" spans="1:12">
      <c r="A708" s="3" t="s">
        <v>1497</v>
      </c>
      <c r="B708" s="4" t="s">
        <v>1498</v>
      </c>
      <c r="C708" s="4" t="s">
        <v>545</v>
      </c>
      <c r="D708" s="4" t="s">
        <v>577</v>
      </c>
      <c r="E708" s="4" t="s">
        <v>578</v>
      </c>
      <c r="F708" s="4" t="s">
        <v>18</v>
      </c>
      <c r="G708" s="4" t="s">
        <v>408</v>
      </c>
      <c r="H708" s="5">
        <f>ROUND(1152,0)</f>
        <v>1152</v>
      </c>
      <c r="I708" s="6">
        <f>ROUND(110.4,2)</f>
        <v>110.4</v>
      </c>
      <c r="J708" s="6">
        <f>ROUND(9.9055,2)</f>
        <v>9.91</v>
      </c>
      <c r="K708" s="5">
        <f>ROUND(1259789.41,0)</f>
        <v>1259789</v>
      </c>
      <c r="L708" s="7">
        <f>ROUND(0.000437830581525857,4)</f>
        <v>4.0000000000000002E-4</v>
      </c>
    </row>
    <row r="709" spans="1:12">
      <c r="A709" s="3" t="s">
        <v>1499</v>
      </c>
      <c r="B709" s="4" t="s">
        <v>1500</v>
      </c>
      <c r="C709" s="4" t="s">
        <v>400</v>
      </c>
      <c r="D709" s="4" t="s">
        <v>789</v>
      </c>
      <c r="E709" s="4" t="s">
        <v>790</v>
      </c>
      <c r="F709" s="4" t="s">
        <v>791</v>
      </c>
      <c r="G709" s="4" t="s">
        <v>408</v>
      </c>
      <c r="H709" s="5">
        <f>ROUND(14309,0)</f>
        <v>14309</v>
      </c>
      <c r="I709" s="6">
        <f>ROUND(685,2)</f>
        <v>685</v>
      </c>
      <c r="J709" s="6">
        <f>ROUND(0.12820804,2)</f>
        <v>0.13</v>
      </c>
      <c r="K709" s="5">
        <f>ROUND(1256652.26,0)</f>
        <v>1256652</v>
      </c>
      <c r="L709" s="7">
        <f>ROUND(0.000436740288022887,4)</f>
        <v>4.0000000000000002E-4</v>
      </c>
    </row>
    <row r="710" spans="1:12">
      <c r="A710" s="3" t="s">
        <v>1501</v>
      </c>
      <c r="B710" s="4" t="s">
        <v>1502</v>
      </c>
      <c r="C710" s="4" t="s">
        <v>534</v>
      </c>
      <c r="D710" s="4" t="s">
        <v>423</v>
      </c>
      <c r="E710" s="4" t="s">
        <v>25</v>
      </c>
      <c r="F710" s="4" t="s">
        <v>16</v>
      </c>
      <c r="G710" s="4" t="s">
        <v>408</v>
      </c>
      <c r="H710" s="5">
        <f>ROUND(289,0)</f>
        <v>289</v>
      </c>
      <c r="I710" s="6">
        <f>ROUND(476.6,2)</f>
        <v>476.6</v>
      </c>
      <c r="J710" s="6">
        <f>ROUND(9.11185723,2)</f>
        <v>9.11</v>
      </c>
      <c r="K710" s="5">
        <f>ROUND(1255043.52,0)</f>
        <v>1255044</v>
      </c>
      <c r="L710" s="7">
        <f>ROUND(0.000436181182219859,4)</f>
        <v>4.0000000000000002E-4</v>
      </c>
    </row>
    <row r="711" spans="1:12">
      <c r="A711" s="3" t="s">
        <v>1503</v>
      </c>
      <c r="B711" s="4" t="s">
        <v>1504</v>
      </c>
      <c r="C711" s="4" t="s">
        <v>534</v>
      </c>
      <c r="D711" s="4" t="s">
        <v>514</v>
      </c>
      <c r="E711" s="4" t="s">
        <v>515</v>
      </c>
      <c r="F711" s="4" t="s">
        <v>190</v>
      </c>
      <c r="G711" s="4" t="s">
        <v>408</v>
      </c>
      <c r="H711" s="5">
        <f>ROUND(2353,0)</f>
        <v>2353</v>
      </c>
      <c r="I711" s="6">
        <f>ROUND(77.43,2)</f>
        <v>77.430000000000007</v>
      </c>
      <c r="J711" s="6">
        <f>ROUND(6.86237833,2)</f>
        <v>6.86</v>
      </c>
      <c r="K711" s="5">
        <f>ROUND(1250275.85,0)</f>
        <v>1250276</v>
      </c>
      <c r="L711" s="7">
        <f>ROUND(0.000434524213434399,4)</f>
        <v>4.0000000000000002E-4</v>
      </c>
    </row>
    <row r="712" spans="1:12">
      <c r="A712" s="3" t="s">
        <v>1505</v>
      </c>
      <c r="B712" s="4" t="s">
        <v>1506</v>
      </c>
      <c r="C712" s="4" t="s">
        <v>422</v>
      </c>
      <c r="D712" s="4" t="s">
        <v>407</v>
      </c>
      <c r="E712" s="4" t="s">
        <v>35</v>
      </c>
      <c r="F712" s="4" t="s">
        <v>21</v>
      </c>
      <c r="G712" s="4" t="s">
        <v>408</v>
      </c>
      <c r="H712" s="5">
        <f>ROUND(2134,0)</f>
        <v>2134</v>
      </c>
      <c r="I712" s="6">
        <f>ROUND(64.35,2)</f>
        <v>64.349999999999994</v>
      </c>
      <c r="J712" s="6">
        <f>ROUND(9.08595,2)</f>
        <v>9.09</v>
      </c>
      <c r="K712" s="5">
        <f>ROUND(1247709,0)</f>
        <v>1247709</v>
      </c>
      <c r="L712" s="7">
        <f>ROUND(0.000433632123518998,4)</f>
        <v>4.0000000000000002E-4</v>
      </c>
    </row>
    <row r="713" spans="1:12">
      <c r="A713" s="3" t="s">
        <v>1507</v>
      </c>
      <c r="B713" s="4" t="s">
        <v>1508</v>
      </c>
      <c r="C713" s="4" t="s">
        <v>430</v>
      </c>
      <c r="D713" s="4" t="s">
        <v>407</v>
      </c>
      <c r="E713" s="4" t="s">
        <v>35</v>
      </c>
      <c r="F713" s="4" t="s">
        <v>21</v>
      </c>
      <c r="G713" s="4" t="s">
        <v>408</v>
      </c>
      <c r="H713" s="5">
        <f>ROUND(5917,0)</f>
        <v>5917</v>
      </c>
      <c r="I713" s="6">
        <f>ROUND(23.2,2)</f>
        <v>23.2</v>
      </c>
      <c r="J713" s="6">
        <f>ROUND(9.08595,2)</f>
        <v>9.09</v>
      </c>
      <c r="K713" s="5">
        <f>ROUND(1247268.33,0)</f>
        <v>1247268</v>
      </c>
      <c r="L713" s="7">
        <f>ROUND(0.000433478971888392,4)</f>
        <v>4.0000000000000002E-4</v>
      </c>
    </row>
    <row r="714" spans="1:12">
      <c r="A714" s="3" t="s">
        <v>1509</v>
      </c>
      <c r="B714" s="4" t="s">
        <v>1510</v>
      </c>
      <c r="C714" s="4" t="s">
        <v>566</v>
      </c>
      <c r="D714" s="4" t="s">
        <v>489</v>
      </c>
      <c r="E714" s="4" t="s">
        <v>490</v>
      </c>
      <c r="F714" s="4" t="s">
        <v>45</v>
      </c>
      <c r="G714" s="4" t="s">
        <v>408</v>
      </c>
      <c r="H714" s="5">
        <f>ROUND(7100,0)</f>
        <v>7100</v>
      </c>
      <c r="I714" s="6">
        <f>ROUND(2084,2)</f>
        <v>2084</v>
      </c>
      <c r="J714" s="6">
        <f>ROUND(8.407077,2)</f>
        <v>8.41</v>
      </c>
      <c r="K714" s="5">
        <f>ROUND(1243944.74,0)</f>
        <v>1243945</v>
      </c>
      <c r="L714" s="7">
        <f>ROUND(0.00043232388252909,4)</f>
        <v>4.0000000000000002E-4</v>
      </c>
    </row>
    <row r="715" spans="1:12">
      <c r="A715" s="3" t="s">
        <v>1511</v>
      </c>
      <c r="B715" s="4" t="s">
        <v>1512</v>
      </c>
      <c r="C715" s="4" t="s">
        <v>389</v>
      </c>
      <c r="D715" s="4" t="s">
        <v>739</v>
      </c>
      <c r="E715" s="4" t="s">
        <v>740</v>
      </c>
      <c r="F715" s="4" t="s">
        <v>741</v>
      </c>
      <c r="G715" s="4" t="s">
        <v>408</v>
      </c>
      <c r="H715" s="5">
        <f>ROUND(13609,0)</f>
        <v>13609</v>
      </c>
      <c r="I715" s="6">
        <f>ROUND(12000,2)</f>
        <v>12000</v>
      </c>
      <c r="J715" s="6">
        <f>ROUND(0.00759599,2)</f>
        <v>0.01</v>
      </c>
      <c r="K715" s="5">
        <f>ROUND(1240485.93,0)</f>
        <v>1240486</v>
      </c>
      <c r="L715" s="7">
        <f>ROUND(0.000431121798449269,4)</f>
        <v>4.0000000000000002E-4</v>
      </c>
    </row>
    <row r="716" spans="1:12">
      <c r="A716" s="3" t="s">
        <v>1513</v>
      </c>
      <c r="B716" s="4" t="s">
        <v>1514</v>
      </c>
      <c r="C716" s="4" t="s">
        <v>400</v>
      </c>
      <c r="D716" s="4" t="s">
        <v>1111</v>
      </c>
      <c r="E716" s="4" t="s">
        <v>1112</v>
      </c>
      <c r="F716" s="4" t="s">
        <v>1026</v>
      </c>
      <c r="G716" s="4" t="s">
        <v>408</v>
      </c>
      <c r="H716" s="5">
        <f>ROUND(19211,0)</f>
        <v>19211</v>
      </c>
      <c r="I716" s="6">
        <f>ROUND(69.81,2)</f>
        <v>69.81</v>
      </c>
      <c r="J716" s="6">
        <f>ROUND(0.92410673,2)</f>
        <v>0.92</v>
      </c>
      <c r="K716" s="5">
        <f>ROUND(1239337.93,0)</f>
        <v>1239338</v>
      </c>
      <c r="L716" s="7">
        <f>ROUND(0.000430722819458335,4)</f>
        <v>4.0000000000000002E-4</v>
      </c>
    </row>
    <row r="717" spans="1:12">
      <c r="A717" s="3" t="s">
        <v>1515</v>
      </c>
      <c r="B717" s="4" t="s">
        <v>1516</v>
      </c>
      <c r="C717" s="4" t="s">
        <v>534</v>
      </c>
      <c r="D717" s="4" t="s">
        <v>1111</v>
      </c>
      <c r="E717" s="4" t="s">
        <v>1112</v>
      </c>
      <c r="F717" s="4" t="s">
        <v>18</v>
      </c>
      <c r="G717" s="4" t="s">
        <v>408</v>
      </c>
      <c r="H717" s="5">
        <f>ROUND(2394,0)</f>
        <v>2394</v>
      </c>
      <c r="I717" s="6">
        <f>ROUND(52.24,2)</f>
        <v>52.24</v>
      </c>
      <c r="J717" s="6">
        <f>ROUND(9.9055,2)</f>
        <v>9.91</v>
      </c>
      <c r="K717" s="5">
        <f>ROUND(1238807.19,0)</f>
        <v>1238807</v>
      </c>
      <c r="L717" s="7">
        <f>ROUND(0.000430538364658989,4)</f>
        <v>4.0000000000000002E-4</v>
      </c>
    </row>
    <row r="718" spans="1:12">
      <c r="A718" s="3" t="s">
        <v>1517</v>
      </c>
      <c r="B718" s="4" t="s">
        <v>1518</v>
      </c>
      <c r="C718" s="4" t="s">
        <v>566</v>
      </c>
      <c r="D718" s="4" t="s">
        <v>489</v>
      </c>
      <c r="E718" s="4" t="s">
        <v>490</v>
      </c>
      <c r="F718" s="4" t="s">
        <v>45</v>
      </c>
      <c r="G718" s="4" t="s">
        <v>408</v>
      </c>
      <c r="H718" s="5">
        <f>ROUND(4200,0)</f>
        <v>4200</v>
      </c>
      <c r="I718" s="6">
        <f>ROUND(3506,2)</f>
        <v>3506</v>
      </c>
      <c r="J718" s="6">
        <f>ROUND(8.407077,2)</f>
        <v>8.41</v>
      </c>
      <c r="K718" s="5">
        <f>ROUND(1237958.9,0)</f>
        <v>1237959</v>
      </c>
      <c r="L718" s="7">
        <f>ROUND(0.000430243547683188,4)</f>
        <v>4.0000000000000002E-4</v>
      </c>
    </row>
    <row r="719" spans="1:12">
      <c r="A719" s="3" t="s">
        <v>1519</v>
      </c>
      <c r="B719" s="4" t="s">
        <v>1520</v>
      </c>
      <c r="C719" s="4" t="s">
        <v>545</v>
      </c>
      <c r="D719" s="4" t="s">
        <v>407</v>
      </c>
      <c r="E719" s="4" t="s">
        <v>35</v>
      </c>
      <c r="F719" s="4" t="s">
        <v>21</v>
      </c>
      <c r="G719" s="4" t="s">
        <v>408</v>
      </c>
      <c r="H719" s="5">
        <f>ROUND(1199,0)</f>
        <v>1199</v>
      </c>
      <c r="I719" s="6">
        <f>ROUND(113.57,2)</f>
        <v>113.57</v>
      </c>
      <c r="J719" s="6">
        <f>ROUND(9.08595,2)</f>
        <v>9.09</v>
      </c>
      <c r="K719" s="5">
        <f>ROUND(1237237.72,0)</f>
        <v>1237238</v>
      </c>
      <c r="L719" s="7">
        <f>ROUND(0.00042999290685681,4)</f>
        <v>4.0000000000000002E-4</v>
      </c>
    </row>
    <row r="720" spans="1:12">
      <c r="A720" s="3" t="s">
        <v>1521</v>
      </c>
      <c r="B720" s="4" t="s">
        <v>1522</v>
      </c>
      <c r="C720" s="4" t="s">
        <v>406</v>
      </c>
      <c r="D720" s="4" t="s">
        <v>407</v>
      </c>
      <c r="E720" s="4" t="s">
        <v>35</v>
      </c>
      <c r="F720" s="4" t="s">
        <v>21</v>
      </c>
      <c r="G720" s="4" t="s">
        <v>408</v>
      </c>
      <c r="H720" s="5">
        <f>ROUND(1100,0)</f>
        <v>1100</v>
      </c>
      <c r="I720" s="6">
        <f>ROUND(123.24,2)</f>
        <v>123.24</v>
      </c>
      <c r="J720" s="6">
        <f>ROUND(9.08595,2)</f>
        <v>9.09</v>
      </c>
      <c r="K720" s="5">
        <f>ROUND(1231727.73,0)</f>
        <v>1231728</v>
      </c>
      <c r="L720" s="7">
        <f>ROUND(0.000428077950192821,4)</f>
        <v>4.0000000000000002E-4</v>
      </c>
    </row>
    <row r="721" spans="1:12">
      <c r="A721" s="3" t="s">
        <v>1523</v>
      </c>
      <c r="B721" s="4" t="s">
        <v>1524</v>
      </c>
      <c r="C721" s="4" t="s">
        <v>445</v>
      </c>
      <c r="D721" s="4" t="s">
        <v>407</v>
      </c>
      <c r="E721" s="4" t="s">
        <v>35</v>
      </c>
      <c r="F721" s="4" t="s">
        <v>21</v>
      </c>
      <c r="G721" s="4" t="s">
        <v>408</v>
      </c>
      <c r="H721" s="5">
        <f>ROUND(1003,0)</f>
        <v>1003</v>
      </c>
      <c r="I721" s="6">
        <f>ROUND(135.11,2)</f>
        <v>135.11000000000001</v>
      </c>
      <c r="J721" s="6">
        <f>ROUND(9.08595,2)</f>
        <v>9.09</v>
      </c>
      <c r="K721" s="5">
        <f>ROUND(1231285.51,0)</f>
        <v>1231286</v>
      </c>
      <c r="L721" s="7">
        <f>ROUND(0.00042792425987107,4)</f>
        <v>4.0000000000000002E-4</v>
      </c>
    </row>
    <row r="722" spans="1:12">
      <c r="A722" s="3" t="s">
        <v>1525</v>
      </c>
      <c r="B722" s="4" t="s">
        <v>1526</v>
      </c>
      <c r="C722" s="4" t="s">
        <v>545</v>
      </c>
      <c r="D722" s="4" t="s">
        <v>514</v>
      </c>
      <c r="E722" s="4" t="s">
        <v>515</v>
      </c>
      <c r="F722" s="4" t="s">
        <v>190</v>
      </c>
      <c r="G722" s="4" t="s">
        <v>408</v>
      </c>
      <c r="H722" s="5">
        <f>ROUND(3021,0)</f>
        <v>3021</v>
      </c>
      <c r="I722" s="6">
        <f>ROUND(59.35,2)</f>
        <v>59.35</v>
      </c>
      <c r="J722" s="6">
        <f>ROUND(6.86237833,2)</f>
        <v>6.86</v>
      </c>
      <c r="K722" s="5">
        <f>ROUND(1230399.39,0)</f>
        <v>1230399</v>
      </c>
      <c r="L722" s="7">
        <f>ROUND(0.000427616295355872,4)</f>
        <v>4.0000000000000002E-4</v>
      </c>
    </row>
    <row r="723" spans="1:12">
      <c r="A723" s="3" t="s">
        <v>1527</v>
      </c>
      <c r="B723" s="4" t="s">
        <v>1528</v>
      </c>
      <c r="C723" s="4" t="s">
        <v>545</v>
      </c>
      <c r="D723" s="4" t="s">
        <v>401</v>
      </c>
      <c r="E723" s="4" t="s">
        <v>402</v>
      </c>
      <c r="F723" s="4" t="s">
        <v>403</v>
      </c>
      <c r="G723" s="4" t="s">
        <v>408</v>
      </c>
      <c r="H723" s="5">
        <f>ROUND(105940,0)</f>
        <v>105940</v>
      </c>
      <c r="I723" s="6">
        <f>ROUND(39.65,2)</f>
        <v>39.65</v>
      </c>
      <c r="J723" s="6">
        <f>ROUND(0.29286371,2)</f>
        <v>0.28999999999999998</v>
      </c>
      <c r="K723" s="5">
        <f>ROUND(1230180.16,0)</f>
        <v>1230180</v>
      </c>
      <c r="L723" s="7">
        <f>ROUND(0.000427540103575225,4)</f>
        <v>4.0000000000000002E-4</v>
      </c>
    </row>
    <row r="724" spans="1:12">
      <c r="A724" s="3" t="s">
        <v>1529</v>
      </c>
      <c r="B724" s="4" t="s">
        <v>1530</v>
      </c>
      <c r="C724" s="4" t="s">
        <v>445</v>
      </c>
      <c r="D724" s="4" t="s">
        <v>407</v>
      </c>
      <c r="E724" s="4" t="s">
        <v>35</v>
      </c>
      <c r="F724" s="4" t="s">
        <v>21</v>
      </c>
      <c r="G724" s="4" t="s">
        <v>408</v>
      </c>
      <c r="H724" s="5">
        <f>ROUND(1381,0)</f>
        <v>1381</v>
      </c>
      <c r="I724" s="6">
        <f>ROUND(97.94,2)</f>
        <v>97.94</v>
      </c>
      <c r="J724" s="6">
        <f>ROUND(9.08595,2)</f>
        <v>9.09</v>
      </c>
      <c r="K724" s="5">
        <f>ROUND(1228921.44,0)</f>
        <v>1228921</v>
      </c>
      <c r="L724" s="7">
        <f>ROUND(0.000427102644659311,4)</f>
        <v>4.0000000000000002E-4</v>
      </c>
    </row>
    <row r="725" spans="1:12">
      <c r="A725" s="3" t="s">
        <v>1531</v>
      </c>
      <c r="B725" s="4" t="s">
        <v>1532</v>
      </c>
      <c r="C725" s="4" t="s">
        <v>422</v>
      </c>
      <c r="D725" s="4" t="s">
        <v>401</v>
      </c>
      <c r="E725" s="4" t="s">
        <v>402</v>
      </c>
      <c r="F725" s="4" t="s">
        <v>403</v>
      </c>
      <c r="G725" s="4" t="s">
        <v>408</v>
      </c>
      <c r="H725" s="5">
        <f>ROUND(56000,0)</f>
        <v>56000</v>
      </c>
      <c r="I725" s="6">
        <f>ROUND(74.8,2)</f>
        <v>74.8</v>
      </c>
      <c r="J725" s="6">
        <f>ROUND(0.29286371,2)</f>
        <v>0.28999999999999998</v>
      </c>
      <c r="K725" s="5">
        <f>ROUND(1226747.51,0)</f>
        <v>1226748</v>
      </c>
      <c r="L725" s="7">
        <f>ROUND(0.000426347111211783,4)</f>
        <v>4.0000000000000002E-4</v>
      </c>
    </row>
    <row r="726" spans="1:12">
      <c r="A726" s="3" t="s">
        <v>1533</v>
      </c>
      <c r="B726" s="4" t="s">
        <v>1534</v>
      </c>
      <c r="C726" s="4" t="s">
        <v>534</v>
      </c>
      <c r="D726" s="4" t="s">
        <v>407</v>
      </c>
      <c r="E726" s="4" t="s">
        <v>35</v>
      </c>
      <c r="F726" s="4" t="s">
        <v>21</v>
      </c>
      <c r="G726" s="4" t="s">
        <v>408</v>
      </c>
      <c r="H726" s="5">
        <f>ROUND(1680,0)</f>
        <v>1680</v>
      </c>
      <c r="I726" s="6">
        <f>ROUND(80.33,2)</f>
        <v>80.33</v>
      </c>
      <c r="J726" s="6">
        <f>ROUND(9.08595,2)</f>
        <v>9.09</v>
      </c>
      <c r="K726" s="5">
        <f>ROUND(1226188.93,0)</f>
        <v>1226189</v>
      </c>
      <c r="L726" s="7">
        <f>ROUND(0.000426152980824365,4)</f>
        <v>4.0000000000000002E-4</v>
      </c>
    </row>
    <row r="727" spans="1:12">
      <c r="A727" s="3" t="s">
        <v>1535</v>
      </c>
      <c r="B727" s="4" t="s">
        <v>1536</v>
      </c>
      <c r="C727" s="4" t="s">
        <v>389</v>
      </c>
      <c r="D727" s="4" t="s">
        <v>514</v>
      </c>
      <c r="E727" s="4" t="s">
        <v>515</v>
      </c>
      <c r="F727" s="4" t="s">
        <v>190</v>
      </c>
      <c r="G727" s="4" t="s">
        <v>408</v>
      </c>
      <c r="H727" s="5">
        <f>ROUND(2528,0)</f>
        <v>2528</v>
      </c>
      <c r="I727" s="6">
        <f>ROUND(70.62,2)</f>
        <v>70.62</v>
      </c>
      <c r="J727" s="6">
        <f>ROUND(6.86237833,2)</f>
        <v>6.86</v>
      </c>
      <c r="K727" s="5">
        <f>ROUND(1225122.29,0)</f>
        <v>1225122</v>
      </c>
      <c r="L727" s="7">
        <f>ROUND(0.000425782277905471,4)</f>
        <v>4.0000000000000002E-4</v>
      </c>
    </row>
    <row r="728" spans="1:12">
      <c r="A728" s="3" t="s">
        <v>1537</v>
      </c>
      <c r="B728" s="4" t="s">
        <v>1538</v>
      </c>
      <c r="C728" s="4" t="s">
        <v>400</v>
      </c>
      <c r="D728" s="4" t="s">
        <v>520</v>
      </c>
      <c r="E728" s="4" t="s">
        <v>521</v>
      </c>
      <c r="F728" s="4" t="s">
        <v>18</v>
      </c>
      <c r="G728" s="4" t="s">
        <v>408</v>
      </c>
      <c r="H728" s="5">
        <f>ROUND(4917,0)</f>
        <v>4917</v>
      </c>
      <c r="I728" s="6">
        <f>ROUND(25.14,2)</f>
        <v>25.14</v>
      </c>
      <c r="J728" s="6">
        <f>ROUND(9.9055,2)</f>
        <v>9.91</v>
      </c>
      <c r="K728" s="5">
        <f>ROUND(1224452.34,0)</f>
        <v>1224452</v>
      </c>
      <c r="L728" s="7">
        <f>ROUND(0.000425549441690335,4)</f>
        <v>4.0000000000000002E-4</v>
      </c>
    </row>
    <row r="729" spans="1:12">
      <c r="A729" s="3" t="s">
        <v>1539</v>
      </c>
      <c r="B729" s="4" t="s">
        <v>1540</v>
      </c>
      <c r="C729" s="4" t="s">
        <v>422</v>
      </c>
      <c r="D729" s="4" t="s">
        <v>541</v>
      </c>
      <c r="E729" s="4" t="s">
        <v>542</v>
      </c>
      <c r="F729" s="4" t="s">
        <v>18</v>
      </c>
      <c r="G729" s="4" t="s">
        <v>408</v>
      </c>
      <c r="H729" s="5">
        <f>ROUND(1358,0)</f>
        <v>1358</v>
      </c>
      <c r="I729" s="6">
        <f>ROUND(90.8,2)</f>
        <v>90.8</v>
      </c>
      <c r="J729" s="6">
        <f>ROUND(9.9055,2)</f>
        <v>9.91</v>
      </c>
      <c r="K729" s="5">
        <f>ROUND(1221411.55,0)</f>
        <v>1221412</v>
      </c>
      <c r="L729" s="7">
        <f>ROUND(0.00042449263739953,4)</f>
        <v>4.0000000000000002E-4</v>
      </c>
    </row>
    <row r="730" spans="1:12">
      <c r="A730" s="3" t="s">
        <v>1541</v>
      </c>
      <c r="B730" s="4" t="s">
        <v>1542</v>
      </c>
      <c r="C730" s="4" t="s">
        <v>406</v>
      </c>
      <c r="D730" s="4" t="s">
        <v>407</v>
      </c>
      <c r="E730" s="4" t="s">
        <v>35</v>
      </c>
      <c r="F730" s="4" t="s">
        <v>21</v>
      </c>
      <c r="G730" s="4" t="s">
        <v>408</v>
      </c>
      <c r="H730" s="5">
        <f>ROUND(1400,0)</f>
        <v>1400</v>
      </c>
      <c r="I730" s="6">
        <f>ROUND(95.9,2)</f>
        <v>95.9</v>
      </c>
      <c r="J730" s="6">
        <f>ROUND(9.08595,2)</f>
        <v>9.09</v>
      </c>
      <c r="K730" s="5">
        <f>ROUND(1219879.65,0)</f>
        <v>1219880</v>
      </c>
      <c r="L730" s="7">
        <f>ROUND(0.000423960236775652,4)</f>
        <v>4.0000000000000002E-4</v>
      </c>
    </row>
    <row r="731" spans="1:12">
      <c r="A731" s="3" t="s">
        <v>1543</v>
      </c>
      <c r="B731" s="4" t="s">
        <v>1544</v>
      </c>
      <c r="C731" s="4" t="s">
        <v>534</v>
      </c>
      <c r="D731" s="4" t="s">
        <v>520</v>
      </c>
      <c r="E731" s="4" t="s">
        <v>521</v>
      </c>
      <c r="F731" s="4" t="s">
        <v>18</v>
      </c>
      <c r="G731" s="4" t="s">
        <v>408</v>
      </c>
      <c r="H731" s="5">
        <f>ROUND(619,0)</f>
        <v>619</v>
      </c>
      <c r="I731" s="6">
        <f>ROUND(198.9,2)</f>
        <v>198.9</v>
      </c>
      <c r="J731" s="6">
        <f>ROUND(9.9055,2)</f>
        <v>9.91</v>
      </c>
      <c r="K731" s="5">
        <f>ROUND(1219556.25,0)</f>
        <v>1219556</v>
      </c>
      <c r="L731" s="7">
        <f>ROUND(0.000423847841474547,4)</f>
        <v>4.0000000000000002E-4</v>
      </c>
    </row>
    <row r="732" spans="1:12">
      <c r="A732" s="3" t="s">
        <v>1545</v>
      </c>
      <c r="B732" s="4" t="s">
        <v>1546</v>
      </c>
      <c r="C732" s="4" t="s">
        <v>406</v>
      </c>
      <c r="D732" s="4" t="s">
        <v>423</v>
      </c>
      <c r="E732" s="4" t="s">
        <v>25</v>
      </c>
      <c r="F732" s="4" t="s">
        <v>16</v>
      </c>
      <c r="G732" s="4" t="s">
        <v>408</v>
      </c>
      <c r="H732" s="5">
        <f>ROUND(801,0)</f>
        <v>801</v>
      </c>
      <c r="I732" s="6">
        <f>ROUND(167,2)</f>
        <v>167</v>
      </c>
      <c r="J732" s="6">
        <f>ROUND(9.11185723,2)</f>
        <v>9.11</v>
      </c>
      <c r="K732" s="5">
        <f>ROUND(1218865.81,0)</f>
        <v>1218866</v>
      </c>
      <c r="L732" s="7">
        <f>ROUND(0.00042360788411,4)</f>
        <v>4.0000000000000002E-4</v>
      </c>
    </row>
    <row r="733" spans="1:12">
      <c r="A733" s="3" t="s">
        <v>1547</v>
      </c>
      <c r="B733" s="4" t="s">
        <v>1548</v>
      </c>
      <c r="C733" s="4" t="s">
        <v>422</v>
      </c>
      <c r="D733" s="4" t="s">
        <v>407</v>
      </c>
      <c r="E733" s="4" t="s">
        <v>35</v>
      </c>
      <c r="F733" s="4" t="s">
        <v>21</v>
      </c>
      <c r="G733" s="4" t="s">
        <v>408</v>
      </c>
      <c r="H733" s="5">
        <f>ROUND(5201,0)</f>
        <v>5201</v>
      </c>
      <c r="I733" s="6">
        <f>ROUND(25.78,2)</f>
        <v>25.78</v>
      </c>
      <c r="J733" s="6">
        <f>ROUND(9.08595,2)</f>
        <v>9.09</v>
      </c>
      <c r="K733" s="5">
        <f>ROUND(1218260.35,0)</f>
        <v>1218260</v>
      </c>
      <c r="L733" s="7">
        <f>ROUND(0.000423397460921976,4)</f>
        <v>4.0000000000000002E-4</v>
      </c>
    </row>
    <row r="734" spans="1:12">
      <c r="A734" s="3" t="s">
        <v>1549</v>
      </c>
      <c r="B734" s="4" t="s">
        <v>1550</v>
      </c>
      <c r="C734" s="4" t="s">
        <v>445</v>
      </c>
      <c r="D734" s="4" t="s">
        <v>407</v>
      </c>
      <c r="E734" s="4" t="s">
        <v>35</v>
      </c>
      <c r="F734" s="4" t="s">
        <v>21</v>
      </c>
      <c r="G734" s="4" t="s">
        <v>408</v>
      </c>
      <c r="H734" s="5">
        <f>ROUND(600,0)</f>
        <v>600</v>
      </c>
      <c r="I734" s="6">
        <f>ROUND(223.23,2)</f>
        <v>223.23</v>
      </c>
      <c r="J734" s="6">
        <f>ROUND(9.08595,2)</f>
        <v>9.09</v>
      </c>
      <c r="K734" s="5">
        <f>ROUND(1216953.97,0)</f>
        <v>1216954</v>
      </c>
      <c r="L734" s="7">
        <f>ROUND(0.00042294343812217,4)</f>
        <v>4.0000000000000002E-4</v>
      </c>
    </row>
    <row r="735" spans="1:12">
      <c r="A735" s="3" t="s">
        <v>1551</v>
      </c>
      <c r="B735" s="4" t="s">
        <v>1552</v>
      </c>
      <c r="C735" s="4" t="s">
        <v>545</v>
      </c>
      <c r="D735" s="4" t="s">
        <v>489</v>
      </c>
      <c r="E735" s="4" t="s">
        <v>490</v>
      </c>
      <c r="F735" s="4" t="s">
        <v>45</v>
      </c>
      <c r="G735" s="4" t="s">
        <v>408</v>
      </c>
      <c r="H735" s="5">
        <f>ROUND(11100,0)</f>
        <v>11100</v>
      </c>
      <c r="I735" s="6">
        <f>ROUND(1300,2)</f>
        <v>1300</v>
      </c>
      <c r="J735" s="6">
        <f>ROUND(8.407077,2)</f>
        <v>8.41</v>
      </c>
      <c r="K735" s="5">
        <f>ROUND(1213141.21,0)</f>
        <v>1213141</v>
      </c>
      <c r="L735" s="7">
        <f>ROUND(0.000421618341312523,4)</f>
        <v>4.0000000000000002E-4</v>
      </c>
    </row>
    <row r="736" spans="1:12">
      <c r="A736" s="3" t="s">
        <v>1553</v>
      </c>
      <c r="B736" s="4" t="s">
        <v>1554</v>
      </c>
      <c r="C736" s="4" t="s">
        <v>400</v>
      </c>
      <c r="D736" s="4" t="s">
        <v>395</v>
      </c>
      <c r="E736" s="4" t="s">
        <v>396</v>
      </c>
      <c r="F736" s="4" t="s">
        <v>397</v>
      </c>
      <c r="G736" s="4" t="s">
        <v>408</v>
      </c>
      <c r="H736" s="5">
        <f>ROUND(9467,0)</f>
        <v>9467</v>
      </c>
      <c r="I736" s="6">
        <f>ROUND(58.55,2)</f>
        <v>58.55</v>
      </c>
      <c r="J736" s="6">
        <f>ROUND(2.18129969,2)</f>
        <v>2.1800000000000002</v>
      </c>
      <c r="K736" s="5">
        <f>ROUND(1209078.82,0)</f>
        <v>1209079</v>
      </c>
      <c r="L736" s="7">
        <f>ROUND(0.000420206487424908,4)</f>
        <v>4.0000000000000002E-4</v>
      </c>
    </row>
    <row r="737" spans="1:12">
      <c r="A737" s="3" t="s">
        <v>1555</v>
      </c>
      <c r="B737" s="4" t="s">
        <v>1556</v>
      </c>
      <c r="C737" s="4" t="s">
        <v>422</v>
      </c>
      <c r="D737" s="4" t="s">
        <v>739</v>
      </c>
      <c r="E737" s="4" t="s">
        <v>740</v>
      </c>
      <c r="F737" s="4" t="s">
        <v>741</v>
      </c>
      <c r="G737" s="4" t="s">
        <v>408</v>
      </c>
      <c r="H737" s="5">
        <f>ROUND(121,0)</f>
        <v>121</v>
      </c>
      <c r="I737" s="6">
        <f>ROUND(1307000,2)</f>
        <v>1307000</v>
      </c>
      <c r="J737" s="6">
        <f>ROUND(0.00759599,2)</f>
        <v>0.01</v>
      </c>
      <c r="K737" s="5">
        <f>ROUND(1201283.03,0)</f>
        <v>1201283</v>
      </c>
      <c r="L737" s="7">
        <f>ROUND(0.000417497117714336,4)</f>
        <v>4.0000000000000002E-4</v>
      </c>
    </row>
    <row r="738" spans="1:12">
      <c r="A738" s="3" t="s">
        <v>1557</v>
      </c>
      <c r="B738" s="4" t="s">
        <v>1558</v>
      </c>
      <c r="C738" s="4" t="s">
        <v>493</v>
      </c>
      <c r="D738" s="4" t="s">
        <v>723</v>
      </c>
      <c r="E738" s="4" t="s">
        <v>724</v>
      </c>
      <c r="F738" s="4" t="s">
        <v>18</v>
      </c>
      <c r="G738" s="4" t="s">
        <v>408</v>
      </c>
      <c r="H738" s="5">
        <f>ROUND(4970,0)</f>
        <v>4970</v>
      </c>
      <c r="I738" s="6">
        <f>ROUND(24.34,2)</f>
        <v>24.34</v>
      </c>
      <c r="J738" s="6">
        <f>ROUND(9.9055,2)</f>
        <v>9.91</v>
      </c>
      <c r="K738" s="5">
        <f>ROUND(1198266.35,0)</f>
        <v>1198266</v>
      </c>
      <c r="L738" s="7">
        <f>ROUND(0.000416448692677426,4)</f>
        <v>4.0000000000000002E-4</v>
      </c>
    </row>
    <row r="739" spans="1:12">
      <c r="A739" s="3" t="s">
        <v>1559</v>
      </c>
      <c r="B739" s="4" t="s">
        <v>1560</v>
      </c>
      <c r="C739" s="4" t="s">
        <v>400</v>
      </c>
      <c r="D739" s="4" t="s">
        <v>407</v>
      </c>
      <c r="E739" s="4" t="s">
        <v>35</v>
      </c>
      <c r="F739" s="4" t="s">
        <v>21</v>
      </c>
      <c r="G739" s="4" t="s">
        <v>408</v>
      </c>
      <c r="H739" s="5">
        <f>ROUND(4901,0)</f>
        <v>4901</v>
      </c>
      <c r="I739" s="6">
        <f>ROUND(26.85,2)</f>
        <v>26.85</v>
      </c>
      <c r="J739" s="6">
        <f>ROUND(9.08595,2)</f>
        <v>9.09</v>
      </c>
      <c r="K739" s="5">
        <f>ROUND(1195636.97,0)</f>
        <v>1195637</v>
      </c>
      <c r="L739" s="7">
        <f>ROUND(0.000415534870918556,4)</f>
        <v>4.0000000000000002E-4</v>
      </c>
    </row>
    <row r="740" spans="1:12">
      <c r="A740" s="3" t="s">
        <v>1561</v>
      </c>
      <c r="B740" s="4" t="s">
        <v>1562</v>
      </c>
      <c r="C740" s="4" t="s">
        <v>534</v>
      </c>
      <c r="D740" s="4" t="s">
        <v>489</v>
      </c>
      <c r="E740" s="4" t="s">
        <v>490</v>
      </c>
      <c r="F740" s="4" t="s">
        <v>45</v>
      </c>
      <c r="G740" s="4" t="s">
        <v>408</v>
      </c>
      <c r="H740" s="5">
        <f>ROUND(4300,0)</f>
        <v>4300</v>
      </c>
      <c r="I740" s="6">
        <f>ROUND(3300,2)</f>
        <v>3300</v>
      </c>
      <c r="J740" s="6">
        <f>ROUND(8.407077,2)</f>
        <v>8.41</v>
      </c>
      <c r="K740" s="5">
        <f>ROUND(1192964.23,0)</f>
        <v>1192964</v>
      </c>
      <c r="L740" s="7">
        <f>ROUND(0.000414605979709296,4)</f>
        <v>4.0000000000000002E-4</v>
      </c>
    </row>
    <row r="741" spans="1:12">
      <c r="A741" s="3" t="s">
        <v>1563</v>
      </c>
      <c r="B741" s="4" t="s">
        <v>1564</v>
      </c>
      <c r="C741" s="4" t="s">
        <v>566</v>
      </c>
      <c r="D741" s="4" t="s">
        <v>407</v>
      </c>
      <c r="E741" s="4" t="s">
        <v>35</v>
      </c>
      <c r="F741" s="4" t="s">
        <v>21</v>
      </c>
      <c r="G741" s="4" t="s">
        <v>408</v>
      </c>
      <c r="H741" s="5">
        <f>ROUND(1010,0)</f>
        <v>1010</v>
      </c>
      <c r="I741" s="6">
        <f>ROUND(129.81,2)</f>
        <v>129.81</v>
      </c>
      <c r="J741" s="6">
        <f>ROUND(9.08595,2)</f>
        <v>9.09</v>
      </c>
      <c r="K741" s="5">
        <f>ROUND(1191241.64,0)</f>
        <v>1191242</v>
      </c>
      <c r="L741" s="7">
        <f>ROUND(0.000414007306172716,4)</f>
        <v>4.0000000000000002E-4</v>
      </c>
    </row>
    <row r="742" spans="1:12">
      <c r="A742" s="3" t="s">
        <v>1565</v>
      </c>
      <c r="B742" s="4" t="s">
        <v>1566</v>
      </c>
      <c r="C742" s="4" t="s">
        <v>422</v>
      </c>
      <c r="D742" s="4" t="s">
        <v>577</v>
      </c>
      <c r="E742" s="4" t="s">
        <v>578</v>
      </c>
      <c r="F742" s="4" t="s">
        <v>18</v>
      </c>
      <c r="G742" s="4" t="s">
        <v>408</v>
      </c>
      <c r="H742" s="5">
        <f>ROUND(1316,0)</f>
        <v>1316</v>
      </c>
      <c r="I742" s="6">
        <f>ROUND(91.35,2)</f>
        <v>91.35</v>
      </c>
      <c r="J742" s="6">
        <f>ROUND(9.9055,2)</f>
        <v>9.91</v>
      </c>
      <c r="K742" s="5">
        <f>ROUND(1190805.53,0)</f>
        <v>1190806</v>
      </c>
      <c r="L742" s="7">
        <f>ROUND(0.000413855739336709,4)</f>
        <v>4.0000000000000002E-4</v>
      </c>
    </row>
    <row r="743" spans="1:12">
      <c r="A743" s="3" t="s">
        <v>876</v>
      </c>
      <c r="B743" s="4" t="s">
        <v>1567</v>
      </c>
      <c r="C743" s="4" t="s">
        <v>534</v>
      </c>
      <c r="D743" s="4" t="s">
        <v>407</v>
      </c>
      <c r="E743" s="4" t="s">
        <v>35</v>
      </c>
      <c r="F743" s="4" t="s">
        <v>21</v>
      </c>
      <c r="G743" s="4" t="s">
        <v>408</v>
      </c>
      <c r="H743" s="5">
        <f>ROUND(1049,0)</f>
        <v>1049</v>
      </c>
      <c r="I743" s="6">
        <f>ROUND(124.88,2)</f>
        <v>124.88</v>
      </c>
      <c r="J743" s="6">
        <f>ROUND(9.08595,2)</f>
        <v>9.09</v>
      </c>
      <c r="K743" s="5">
        <f>ROUND(1190251.45,0)</f>
        <v>1190251</v>
      </c>
      <c r="L743" s="7">
        <f>ROUND(0.000413663172891328,4)</f>
        <v>4.0000000000000002E-4</v>
      </c>
    </row>
    <row r="744" spans="1:12">
      <c r="A744" s="3" t="s">
        <v>1568</v>
      </c>
      <c r="B744" s="4" t="s">
        <v>1569</v>
      </c>
      <c r="C744" s="4" t="s">
        <v>493</v>
      </c>
      <c r="D744" s="4" t="s">
        <v>407</v>
      </c>
      <c r="E744" s="4" t="s">
        <v>35</v>
      </c>
      <c r="F744" s="4" t="s">
        <v>21</v>
      </c>
      <c r="G744" s="4" t="s">
        <v>408</v>
      </c>
      <c r="H744" s="5">
        <f>ROUND(2600,0)</f>
        <v>2600</v>
      </c>
      <c r="I744" s="6">
        <f>ROUND(50.27,2)</f>
        <v>50.27</v>
      </c>
      <c r="J744" s="6">
        <f>ROUND(9.08595,2)</f>
        <v>9.09</v>
      </c>
      <c r="K744" s="5">
        <f>ROUND(1187551.84,0)</f>
        <v>1187552</v>
      </c>
      <c r="L744" s="7">
        <f>ROUND(0.000412724943210391,4)</f>
        <v>4.0000000000000002E-4</v>
      </c>
    </row>
    <row r="745" spans="1:12">
      <c r="A745" s="3" t="s">
        <v>1570</v>
      </c>
      <c r="B745" s="4" t="s">
        <v>1571</v>
      </c>
      <c r="C745" s="4" t="s">
        <v>566</v>
      </c>
      <c r="D745" s="4" t="s">
        <v>407</v>
      </c>
      <c r="E745" s="4" t="s">
        <v>35</v>
      </c>
      <c r="F745" s="4" t="s">
        <v>21</v>
      </c>
      <c r="G745" s="4" t="s">
        <v>408</v>
      </c>
      <c r="H745" s="5">
        <f>ROUND(400,0)</f>
        <v>400</v>
      </c>
      <c r="I745" s="6">
        <f>ROUND(326.65,2)</f>
        <v>326.64999999999998</v>
      </c>
      <c r="J745" s="6">
        <f>ROUND(9.08595,2)</f>
        <v>9.09</v>
      </c>
      <c r="K745" s="5">
        <f>ROUND(1187170.23,0)</f>
        <v>1187170</v>
      </c>
      <c r="L745" s="7">
        <f>ROUND(0.000412592317450172,4)</f>
        <v>4.0000000000000002E-4</v>
      </c>
    </row>
    <row r="746" spans="1:12">
      <c r="A746" s="3" t="s">
        <v>1572</v>
      </c>
      <c r="B746" s="4" t="s">
        <v>1573</v>
      </c>
      <c r="C746" s="4" t="s">
        <v>400</v>
      </c>
      <c r="D746" s="4" t="s">
        <v>407</v>
      </c>
      <c r="E746" s="4" t="s">
        <v>35</v>
      </c>
      <c r="F746" s="4" t="s">
        <v>21</v>
      </c>
      <c r="G746" s="4" t="s">
        <v>408</v>
      </c>
      <c r="H746" s="5">
        <f>ROUND(1400,0)</f>
        <v>1400</v>
      </c>
      <c r="I746" s="6">
        <f>ROUND(93.32,2)</f>
        <v>93.32</v>
      </c>
      <c r="J746" s="6">
        <f>ROUND(9.08595,2)</f>
        <v>9.09</v>
      </c>
      <c r="K746" s="5">
        <f>ROUND(1187061.2,0)</f>
        <v>1187061</v>
      </c>
      <c r="L746" s="7">
        <f>ROUND(0.000412554424872314,4)</f>
        <v>4.0000000000000002E-4</v>
      </c>
    </row>
    <row r="747" spans="1:12">
      <c r="A747" s="3" t="s">
        <v>1574</v>
      </c>
      <c r="B747" s="4" t="s">
        <v>1575</v>
      </c>
      <c r="C747" s="4" t="s">
        <v>400</v>
      </c>
      <c r="D747" s="4" t="s">
        <v>407</v>
      </c>
      <c r="E747" s="4" t="s">
        <v>35</v>
      </c>
      <c r="F747" s="4" t="s">
        <v>21</v>
      </c>
      <c r="G747" s="4" t="s">
        <v>408</v>
      </c>
      <c r="H747" s="5">
        <f>ROUND(8105,0)</f>
        <v>8105</v>
      </c>
      <c r="I747" s="6">
        <f>ROUND(16.09,2)</f>
        <v>16.09</v>
      </c>
      <c r="J747" s="6">
        <f>ROUND(9.08595,2)</f>
        <v>9.09</v>
      </c>
      <c r="K747" s="5">
        <f>ROUND(1184893.74,0)</f>
        <v>1184894</v>
      </c>
      <c r="L747" s="7">
        <f>ROUND(0.000411801140025893,4)</f>
        <v>4.0000000000000002E-4</v>
      </c>
    </row>
    <row r="748" spans="1:12">
      <c r="A748" s="3" t="s">
        <v>1576</v>
      </c>
      <c r="B748" s="4" t="s">
        <v>1577</v>
      </c>
      <c r="C748" s="4" t="s">
        <v>566</v>
      </c>
      <c r="D748" s="4" t="s">
        <v>486</v>
      </c>
      <c r="E748" s="4" t="s">
        <v>30</v>
      </c>
      <c r="F748" s="4" t="s">
        <v>20</v>
      </c>
      <c r="G748" s="4" t="s">
        <v>408</v>
      </c>
      <c r="H748" s="5">
        <f>ROUND(13049,0)</f>
        <v>13049</v>
      </c>
      <c r="I748" s="6">
        <f>ROUND(810.8,2)</f>
        <v>810.8</v>
      </c>
      <c r="J748" s="6">
        <f>ROUND(11.19645077,2)</f>
        <v>11.2</v>
      </c>
      <c r="K748" s="5">
        <f>ROUND(1184598.93,0)</f>
        <v>1184599</v>
      </c>
      <c r="L748" s="7">
        <f>ROUND(0.000411698680969868,4)</f>
        <v>4.0000000000000002E-4</v>
      </c>
    </row>
    <row r="749" spans="1:12">
      <c r="A749" s="3" t="s">
        <v>1578</v>
      </c>
      <c r="B749" s="4" t="s">
        <v>1579</v>
      </c>
      <c r="C749" s="4" t="s">
        <v>534</v>
      </c>
      <c r="D749" s="4" t="s">
        <v>407</v>
      </c>
      <c r="E749" s="4" t="s">
        <v>35</v>
      </c>
      <c r="F749" s="4" t="s">
        <v>21</v>
      </c>
      <c r="G749" s="4" t="s">
        <v>408</v>
      </c>
      <c r="H749" s="5">
        <f>ROUND(1900,0)</f>
        <v>1900</v>
      </c>
      <c r="I749" s="6">
        <f>ROUND(68.56,2)</f>
        <v>68.56</v>
      </c>
      <c r="J749" s="6">
        <f>ROUND(9.08595,2)</f>
        <v>9.09</v>
      </c>
      <c r="K749" s="5">
        <f>ROUND(1183572.19,0)</f>
        <v>1183572</v>
      </c>
      <c r="L749" s="7">
        <f>ROUND(0.000411341845003707,4)</f>
        <v>4.0000000000000002E-4</v>
      </c>
    </row>
    <row r="750" spans="1:12">
      <c r="A750" s="3" t="s">
        <v>1580</v>
      </c>
      <c r="B750" s="4" t="s">
        <v>1581</v>
      </c>
      <c r="C750" s="4" t="s">
        <v>406</v>
      </c>
      <c r="D750" s="4" t="s">
        <v>407</v>
      </c>
      <c r="E750" s="4" t="s">
        <v>35</v>
      </c>
      <c r="F750" s="4" t="s">
        <v>21</v>
      </c>
      <c r="G750" s="4" t="s">
        <v>408</v>
      </c>
      <c r="H750" s="5">
        <f>ROUND(1339,0)</f>
        <v>1339</v>
      </c>
      <c r="I750" s="6">
        <f>ROUND(97.25,2)</f>
        <v>97.25</v>
      </c>
      <c r="J750" s="6">
        <f>ROUND(9.08595,2)</f>
        <v>9.09</v>
      </c>
      <c r="K750" s="5">
        <f>ROUND(1183151.97,0)</f>
        <v>1183152</v>
      </c>
      <c r="L750" s="7">
        <f>ROUND(0.000411195800620806,4)</f>
        <v>4.0000000000000002E-4</v>
      </c>
    </row>
    <row r="751" spans="1:12">
      <c r="A751" s="3" t="s">
        <v>1582</v>
      </c>
      <c r="B751" s="4" t="s">
        <v>1583</v>
      </c>
      <c r="C751" s="4" t="s">
        <v>389</v>
      </c>
      <c r="D751" s="4" t="s">
        <v>1584</v>
      </c>
      <c r="E751" s="4" t="s">
        <v>1585</v>
      </c>
      <c r="F751" s="4" t="s">
        <v>21</v>
      </c>
      <c r="G751" s="4" t="s">
        <v>408</v>
      </c>
      <c r="H751" s="5">
        <f>ROUND(2972,0)</f>
        <v>2972</v>
      </c>
      <c r="I751" s="6">
        <f>ROUND(43.71,2)</f>
        <v>43.71</v>
      </c>
      <c r="J751" s="6">
        <f>ROUND(9.08595,2)</f>
        <v>9.09</v>
      </c>
      <c r="K751" s="5">
        <f>ROUND(1180320.51,0)</f>
        <v>1180321</v>
      </c>
      <c r="L751" s="7">
        <f>ROUND(0.000410211747438166,4)</f>
        <v>4.0000000000000002E-4</v>
      </c>
    </row>
    <row r="752" spans="1:12">
      <c r="A752" s="3" t="s">
        <v>1586</v>
      </c>
      <c r="B752" s="4" t="s">
        <v>1587</v>
      </c>
      <c r="C752" s="4" t="s">
        <v>406</v>
      </c>
      <c r="D752" s="4" t="s">
        <v>541</v>
      </c>
      <c r="E752" s="4" t="s">
        <v>542</v>
      </c>
      <c r="F752" s="4" t="s">
        <v>18</v>
      </c>
      <c r="G752" s="4" t="s">
        <v>408</v>
      </c>
      <c r="H752" s="5">
        <f>ROUND(7213,0)</f>
        <v>7213</v>
      </c>
      <c r="I752" s="6">
        <f>ROUND(16.512,2)</f>
        <v>16.510000000000002</v>
      </c>
      <c r="J752" s="6">
        <f>ROUND(9.9055,2)</f>
        <v>9.91</v>
      </c>
      <c r="K752" s="5">
        <f>ROUND(1179755.55,0)</f>
        <v>1179756</v>
      </c>
      <c r="L752" s="7">
        <f>ROUND(0.000410015399728481,4)</f>
        <v>4.0000000000000002E-4</v>
      </c>
    </row>
    <row r="753" spans="1:12">
      <c r="A753" s="3" t="s">
        <v>1588</v>
      </c>
      <c r="B753" s="4" t="s">
        <v>1589</v>
      </c>
      <c r="C753" s="4" t="s">
        <v>389</v>
      </c>
      <c r="D753" s="4" t="s">
        <v>407</v>
      </c>
      <c r="E753" s="4" t="s">
        <v>35</v>
      </c>
      <c r="F753" s="4" t="s">
        <v>21</v>
      </c>
      <c r="G753" s="4" t="s">
        <v>408</v>
      </c>
      <c r="H753" s="5">
        <f>ROUND(1300,0)</f>
        <v>1300</v>
      </c>
      <c r="I753" s="6">
        <f>ROUND(99.59,2)</f>
        <v>99.59</v>
      </c>
      <c r="J753" s="6">
        <f>ROUND(9.08595,2)</f>
        <v>9.09</v>
      </c>
      <c r="K753" s="5">
        <f>ROUND(1176330.69,0)</f>
        <v>1176331</v>
      </c>
      <c r="L753" s="7">
        <f>ROUND(0.000408825114722478,4)</f>
        <v>4.0000000000000002E-4</v>
      </c>
    </row>
    <row r="754" spans="1:12">
      <c r="A754" s="3" t="s">
        <v>1590</v>
      </c>
      <c r="B754" s="4" t="s">
        <v>1591</v>
      </c>
      <c r="C754" s="4" t="s">
        <v>400</v>
      </c>
      <c r="D754" s="4" t="s">
        <v>739</v>
      </c>
      <c r="E754" s="4" t="s">
        <v>740</v>
      </c>
      <c r="F754" s="4" t="s">
        <v>741</v>
      </c>
      <c r="G754" s="4" t="s">
        <v>408</v>
      </c>
      <c r="H754" s="5">
        <f>ROUND(3700,0)</f>
        <v>3700</v>
      </c>
      <c r="I754" s="6">
        <f>ROUND(41800,2)</f>
        <v>41800</v>
      </c>
      <c r="J754" s="6">
        <f>ROUND(0.00759599,2)</f>
        <v>0.01</v>
      </c>
      <c r="K754" s="5">
        <f>ROUND(1174795.81,0)</f>
        <v>1174796</v>
      </c>
      <c r="L754" s="7">
        <f>ROUND(0.000408291678421428,4)</f>
        <v>4.0000000000000002E-4</v>
      </c>
    </row>
    <row r="755" spans="1:12">
      <c r="A755" s="3" t="s">
        <v>1592</v>
      </c>
      <c r="B755" s="4" t="s">
        <v>1593</v>
      </c>
      <c r="C755" s="4" t="s">
        <v>534</v>
      </c>
      <c r="D755" s="4" t="s">
        <v>489</v>
      </c>
      <c r="E755" s="4" t="s">
        <v>490</v>
      </c>
      <c r="F755" s="4" t="s">
        <v>45</v>
      </c>
      <c r="G755" s="4" t="s">
        <v>408</v>
      </c>
      <c r="H755" s="5">
        <f>ROUND(3300,0)</f>
        <v>3300</v>
      </c>
      <c r="I755" s="6">
        <f>ROUND(4232,2)</f>
        <v>4232</v>
      </c>
      <c r="J755" s="6">
        <f>ROUND(8.407077,2)</f>
        <v>8.41</v>
      </c>
      <c r="K755" s="5">
        <f>ROUND(1174098.75,0)</f>
        <v>1174099</v>
      </c>
      <c r="L755" s="7">
        <f>ROUND(0.000408049420324371,4)</f>
        <v>4.0000000000000002E-4</v>
      </c>
    </row>
    <row r="756" spans="1:12">
      <c r="A756" s="3" t="s">
        <v>1594</v>
      </c>
      <c r="B756" s="4" t="s">
        <v>1595</v>
      </c>
      <c r="C756" s="4" t="s">
        <v>415</v>
      </c>
      <c r="D756" s="4" t="s">
        <v>456</v>
      </c>
      <c r="E756" s="4" t="s">
        <v>457</v>
      </c>
      <c r="F756" s="4" t="s">
        <v>21</v>
      </c>
      <c r="G756" s="4" t="s">
        <v>408</v>
      </c>
      <c r="H756" s="5">
        <f>ROUND(485,0)</f>
        <v>485</v>
      </c>
      <c r="I756" s="6">
        <f>ROUND(266.18,2)</f>
        <v>266.18</v>
      </c>
      <c r="J756" s="6">
        <f>ROUND(9.08595,2)</f>
        <v>9.09</v>
      </c>
      <c r="K756" s="5">
        <f>ROUND(1172971.61,0)</f>
        <v>1172972</v>
      </c>
      <c r="L756" s="7">
        <f>ROUND(0.000407657691073638,4)</f>
        <v>4.0000000000000002E-4</v>
      </c>
    </row>
    <row r="757" spans="1:12">
      <c r="A757" s="3" t="s">
        <v>1596</v>
      </c>
      <c r="B757" s="4" t="s">
        <v>1597</v>
      </c>
      <c r="C757" s="4" t="s">
        <v>534</v>
      </c>
      <c r="D757" s="4" t="s">
        <v>407</v>
      </c>
      <c r="E757" s="4" t="s">
        <v>35</v>
      </c>
      <c r="F757" s="4" t="s">
        <v>21</v>
      </c>
      <c r="G757" s="4" t="s">
        <v>408</v>
      </c>
      <c r="H757" s="5">
        <f>ROUND(1400,0)</f>
        <v>1400</v>
      </c>
      <c r="I757" s="6">
        <f>ROUND(91.82,2)</f>
        <v>91.82</v>
      </c>
      <c r="J757" s="6">
        <f>ROUND(9.08595,2)</f>
        <v>9.09</v>
      </c>
      <c r="K757" s="5">
        <f>ROUND(1167980.7,0)</f>
        <v>1167981</v>
      </c>
      <c r="L757" s="7">
        <f>ROUND(0.000405923136861404,4)</f>
        <v>4.0000000000000002E-4</v>
      </c>
    </row>
    <row r="758" spans="1:12">
      <c r="A758" s="3" t="s">
        <v>1598</v>
      </c>
      <c r="B758" s="4" t="s">
        <v>1599</v>
      </c>
      <c r="C758" s="4" t="s">
        <v>534</v>
      </c>
      <c r="D758" s="4" t="s">
        <v>577</v>
      </c>
      <c r="E758" s="4" t="s">
        <v>578</v>
      </c>
      <c r="F758" s="4" t="s">
        <v>18</v>
      </c>
      <c r="G758" s="4" t="s">
        <v>408</v>
      </c>
      <c r="H758" s="5">
        <f>ROUND(1748,0)</f>
        <v>1748</v>
      </c>
      <c r="I758" s="6">
        <f>ROUND(66.98,2)</f>
        <v>66.98</v>
      </c>
      <c r="J758" s="6">
        <f>ROUND(9.9055,2)</f>
        <v>9.91</v>
      </c>
      <c r="K758" s="5">
        <f>ROUND(1159746.24,0)</f>
        <v>1159746</v>
      </c>
      <c r="L758" s="7">
        <f>ROUND(0.000403061310605577,4)</f>
        <v>4.0000000000000002E-4</v>
      </c>
    </row>
    <row r="759" spans="1:12">
      <c r="A759" s="3" t="s">
        <v>1600</v>
      </c>
      <c r="B759" s="4" t="s">
        <v>1601</v>
      </c>
      <c r="C759" s="4" t="s">
        <v>389</v>
      </c>
      <c r="D759" s="4" t="s">
        <v>520</v>
      </c>
      <c r="E759" s="4" t="s">
        <v>521</v>
      </c>
      <c r="F759" s="4" t="s">
        <v>18</v>
      </c>
      <c r="G759" s="4" t="s">
        <v>408</v>
      </c>
      <c r="H759" s="5">
        <f>ROUND(1142,0)</f>
        <v>1142</v>
      </c>
      <c r="I759" s="6">
        <f>ROUND(102.4,2)</f>
        <v>102.4</v>
      </c>
      <c r="J759" s="6">
        <f>ROUND(9.9055,2)</f>
        <v>9.91</v>
      </c>
      <c r="K759" s="5">
        <f>ROUND(1158357.09,0)</f>
        <v>1158357</v>
      </c>
      <c r="L759" s="7">
        <f>ROUND(0.000402578521698559,4)</f>
        <v>4.0000000000000002E-4</v>
      </c>
    </row>
    <row r="760" spans="1:12">
      <c r="A760" s="3" t="s">
        <v>1602</v>
      </c>
      <c r="B760" s="4" t="s">
        <v>1603</v>
      </c>
      <c r="C760" s="4" t="s">
        <v>400</v>
      </c>
      <c r="D760" s="4" t="s">
        <v>401</v>
      </c>
      <c r="E760" s="4" t="s">
        <v>402</v>
      </c>
      <c r="F760" s="4" t="s">
        <v>403</v>
      </c>
      <c r="G760" s="4" t="s">
        <v>408</v>
      </c>
      <c r="H760" s="5">
        <f>ROUND(213000,0)</f>
        <v>213000</v>
      </c>
      <c r="I760" s="6">
        <f>ROUND(18.5,2)</f>
        <v>18.5</v>
      </c>
      <c r="J760" s="6">
        <f>ROUND(0.29286371,2)</f>
        <v>0.28999999999999998</v>
      </c>
      <c r="K760" s="5">
        <f>ROUND(1154029.45,0)</f>
        <v>1154029</v>
      </c>
      <c r="L760" s="7">
        <f>ROUND(0.000401074482116392,4)</f>
        <v>4.0000000000000002E-4</v>
      </c>
    </row>
    <row r="761" spans="1:12">
      <c r="A761" s="3" t="s">
        <v>1604</v>
      </c>
      <c r="B761" s="4" t="s">
        <v>1605</v>
      </c>
      <c r="C761" s="4" t="s">
        <v>534</v>
      </c>
      <c r="D761" s="4" t="s">
        <v>1221</v>
      </c>
      <c r="E761" s="4" t="s">
        <v>1222</v>
      </c>
      <c r="F761" s="4" t="s">
        <v>26</v>
      </c>
      <c r="G761" s="4" t="s">
        <v>408</v>
      </c>
      <c r="H761" s="5">
        <f>ROUND(13700,0)</f>
        <v>13700</v>
      </c>
      <c r="I761" s="6">
        <f>ROUND(72.35,2)</f>
        <v>72.349999999999994</v>
      </c>
      <c r="J761" s="6">
        <f>ROUND(1.15901246,2)</f>
        <v>1.1599999999999999</v>
      </c>
      <c r="K761" s="5">
        <f>ROUND(1148807.36,0)</f>
        <v>1148807</v>
      </c>
      <c r="L761" s="7">
        <f>ROUND(0.000399259582988545,4)</f>
        <v>4.0000000000000002E-4</v>
      </c>
    </row>
    <row r="762" spans="1:12">
      <c r="A762" s="3" t="s">
        <v>1606</v>
      </c>
      <c r="B762" s="4" t="s">
        <v>1607</v>
      </c>
      <c r="C762" s="4" t="s">
        <v>389</v>
      </c>
      <c r="D762" s="4" t="s">
        <v>739</v>
      </c>
      <c r="E762" s="4" t="s">
        <v>740</v>
      </c>
      <c r="F762" s="4" t="s">
        <v>741</v>
      </c>
      <c r="G762" s="4" t="s">
        <v>408</v>
      </c>
      <c r="H762" s="5">
        <f>ROUND(2243,0)</f>
        <v>2243</v>
      </c>
      <c r="I762" s="6">
        <f>ROUND(67400,2)</f>
        <v>67400</v>
      </c>
      <c r="J762" s="6">
        <f>ROUND(0.00759599,2)</f>
        <v>0.01</v>
      </c>
      <c r="K762" s="5">
        <f>ROUND(1148348.1,0)</f>
        <v>1148348</v>
      </c>
      <c r="L762" s="7">
        <f>ROUND(0.00039909997053961,4)</f>
        <v>4.0000000000000002E-4</v>
      </c>
    </row>
    <row r="763" spans="1:12">
      <c r="A763" s="3" t="s">
        <v>1608</v>
      </c>
      <c r="B763" s="4" t="s">
        <v>1609</v>
      </c>
      <c r="C763" s="4" t="s">
        <v>415</v>
      </c>
      <c r="D763" s="4" t="s">
        <v>486</v>
      </c>
      <c r="E763" s="4" t="s">
        <v>30</v>
      </c>
      <c r="F763" s="4" t="s">
        <v>20</v>
      </c>
      <c r="G763" s="4" t="s">
        <v>408</v>
      </c>
      <c r="H763" s="5">
        <f>ROUND(57428,0)</f>
        <v>57428</v>
      </c>
      <c r="I763" s="6">
        <f>ROUND(178.58,2)</f>
        <v>178.58</v>
      </c>
      <c r="J763" s="6">
        <f>ROUND(11.19645077,2)</f>
        <v>11.2</v>
      </c>
      <c r="K763" s="5">
        <f>ROUND(1148251.11,0)</f>
        <v>1148251</v>
      </c>
      <c r="L763" s="7">
        <f>ROUND(0.000399066262375559,4)</f>
        <v>4.0000000000000002E-4</v>
      </c>
    </row>
    <row r="764" spans="1:12">
      <c r="A764" s="3" t="s">
        <v>1610</v>
      </c>
      <c r="B764" s="4" t="s">
        <v>1611</v>
      </c>
      <c r="C764" s="4" t="s">
        <v>400</v>
      </c>
      <c r="D764" s="4" t="s">
        <v>486</v>
      </c>
      <c r="E764" s="4" t="s">
        <v>30</v>
      </c>
      <c r="F764" s="4" t="s">
        <v>20</v>
      </c>
      <c r="G764" s="4" t="s">
        <v>408</v>
      </c>
      <c r="H764" s="5">
        <f>ROUND(25637,0)</f>
        <v>25637</v>
      </c>
      <c r="I764" s="6">
        <f>ROUND(399.3,2)</f>
        <v>399.3</v>
      </c>
      <c r="J764" s="6">
        <f>ROUND(11.19645077,2)</f>
        <v>11.2</v>
      </c>
      <c r="K764" s="5">
        <f>ROUND(1146164.32,0)</f>
        <v>1146164</v>
      </c>
      <c r="L764" s="7">
        <f>ROUND(0.000398341013796733,4)</f>
        <v>4.0000000000000002E-4</v>
      </c>
    </row>
    <row r="765" spans="1:12">
      <c r="A765" s="3" t="s">
        <v>1612</v>
      </c>
      <c r="B765" s="4" t="s">
        <v>1613</v>
      </c>
      <c r="C765" s="4" t="s">
        <v>389</v>
      </c>
      <c r="D765" s="4" t="s">
        <v>407</v>
      </c>
      <c r="E765" s="4" t="s">
        <v>35</v>
      </c>
      <c r="F765" s="4" t="s">
        <v>21</v>
      </c>
      <c r="G765" s="4" t="s">
        <v>408</v>
      </c>
      <c r="H765" s="5">
        <f>ROUND(655,0)</f>
        <v>655</v>
      </c>
      <c r="I765" s="6">
        <f>ROUND(192.53,2)</f>
        <v>192.53</v>
      </c>
      <c r="J765" s="6">
        <f>ROUND(9.08595,2)</f>
        <v>9.09</v>
      </c>
      <c r="K765" s="5">
        <f>ROUND(1145803.26,0)</f>
        <v>1145803</v>
      </c>
      <c r="L765" s="7">
        <f>ROUND(0.000398215530038487,4)</f>
        <v>4.0000000000000002E-4</v>
      </c>
    </row>
    <row r="766" spans="1:12">
      <c r="A766" s="3" t="s">
        <v>1614</v>
      </c>
      <c r="B766" s="4" t="s">
        <v>1615</v>
      </c>
      <c r="C766" s="4" t="s">
        <v>406</v>
      </c>
      <c r="D766" s="4" t="s">
        <v>407</v>
      </c>
      <c r="E766" s="4" t="s">
        <v>35</v>
      </c>
      <c r="F766" s="4" t="s">
        <v>21</v>
      </c>
      <c r="G766" s="4" t="s">
        <v>408</v>
      </c>
      <c r="H766" s="5">
        <f>ROUND(2032,0)</f>
        <v>2032</v>
      </c>
      <c r="I766" s="6">
        <f>ROUND(61.95,2)</f>
        <v>61.95</v>
      </c>
      <c r="J766" s="6">
        <f>ROUND(9.08595,2)</f>
        <v>9.09</v>
      </c>
      <c r="K766" s="5">
        <f>ROUND(1143761.19,0)</f>
        <v>1143761</v>
      </c>
      <c r="L766" s="7">
        <f>ROUND(0.000397505823568088,4)</f>
        <v>4.0000000000000002E-4</v>
      </c>
    </row>
    <row r="767" spans="1:12">
      <c r="A767" s="3" t="s">
        <v>1616</v>
      </c>
      <c r="B767" s="4" t="s">
        <v>1617</v>
      </c>
      <c r="C767" s="4" t="s">
        <v>545</v>
      </c>
      <c r="D767" s="4" t="s">
        <v>390</v>
      </c>
      <c r="E767" s="4" t="s">
        <v>391</v>
      </c>
      <c r="F767" s="4" t="s">
        <v>72</v>
      </c>
      <c r="G767" s="4" t="s">
        <v>408</v>
      </c>
      <c r="H767" s="5">
        <f>ROUND(15502,0)</f>
        <v>15502</v>
      </c>
      <c r="I767" s="6">
        <f>ROUND(12.01,2)</f>
        <v>12.01</v>
      </c>
      <c r="J767" s="6">
        <f>ROUND(6.12812423,2)</f>
        <v>6.13</v>
      </c>
      <c r="K767" s="5">
        <f>ROUND(1140928.16,0)</f>
        <v>1140928</v>
      </c>
      <c r="L767" s="7">
        <f>ROUND(0.000396521224743448,4)</f>
        <v>4.0000000000000002E-4</v>
      </c>
    </row>
    <row r="768" spans="1:12">
      <c r="A768" s="3" t="s">
        <v>1618</v>
      </c>
      <c r="B768" s="4" t="s">
        <v>1619</v>
      </c>
      <c r="C768" s="4" t="s">
        <v>406</v>
      </c>
      <c r="D768" s="4" t="s">
        <v>407</v>
      </c>
      <c r="E768" s="4" t="s">
        <v>35</v>
      </c>
      <c r="F768" s="4" t="s">
        <v>21</v>
      </c>
      <c r="G768" s="4" t="s">
        <v>408</v>
      </c>
      <c r="H768" s="5">
        <f>ROUND(1900,0)</f>
        <v>1900</v>
      </c>
      <c r="I768" s="6">
        <f>ROUND(66.08,2)</f>
        <v>66.08</v>
      </c>
      <c r="J768" s="6">
        <f>ROUND(9.08595,2)</f>
        <v>9.09</v>
      </c>
      <c r="K768" s="5">
        <f>ROUND(1140759.19,0)</f>
        <v>1140759</v>
      </c>
      <c r="L768" s="7">
        <f>ROUND(0.000396462500457648,4)</f>
        <v>4.0000000000000002E-4</v>
      </c>
    </row>
    <row r="769" spans="1:12">
      <c r="A769" s="3" t="s">
        <v>1620</v>
      </c>
      <c r="B769" s="4" t="s">
        <v>1621</v>
      </c>
      <c r="C769" s="4" t="s">
        <v>415</v>
      </c>
      <c r="D769" s="4" t="s">
        <v>407</v>
      </c>
      <c r="E769" s="4" t="s">
        <v>35</v>
      </c>
      <c r="F769" s="4" t="s">
        <v>21</v>
      </c>
      <c r="G769" s="4" t="s">
        <v>408</v>
      </c>
      <c r="H769" s="5">
        <f>ROUND(1199,0)</f>
        <v>1199</v>
      </c>
      <c r="I769" s="6">
        <f>ROUND(104.67,2)</f>
        <v>104.67</v>
      </c>
      <c r="J769" s="6">
        <f>ROUND(9.08595,2)</f>
        <v>9.09</v>
      </c>
      <c r="K769" s="5">
        <f>ROUND(1140280.64,0)</f>
        <v>1140281</v>
      </c>
      <c r="L769" s="7">
        <f>ROUND(0.000396296183910513,4)</f>
        <v>4.0000000000000002E-4</v>
      </c>
    </row>
    <row r="770" spans="1:12">
      <c r="A770" s="3" t="s">
        <v>1622</v>
      </c>
      <c r="B770" s="4" t="s">
        <v>1623</v>
      </c>
      <c r="C770" s="4" t="s">
        <v>400</v>
      </c>
      <c r="D770" s="4" t="s">
        <v>401</v>
      </c>
      <c r="E770" s="4" t="s">
        <v>402</v>
      </c>
      <c r="F770" s="4" t="s">
        <v>403</v>
      </c>
      <c r="G770" s="4" t="s">
        <v>408</v>
      </c>
      <c r="H770" s="5">
        <f>ROUND(178517,0)</f>
        <v>178517</v>
      </c>
      <c r="I770" s="6">
        <f>ROUND(21.8,2)</f>
        <v>21.8</v>
      </c>
      <c r="J770" s="6">
        <f>ROUND(0.29286371,2)</f>
        <v>0.28999999999999998</v>
      </c>
      <c r="K770" s="5">
        <f>ROUND(1139729.09,0)</f>
        <v>1139729</v>
      </c>
      <c r="L770" s="7">
        <f>ROUND(0.0003961044967481,4)</f>
        <v>4.0000000000000002E-4</v>
      </c>
    </row>
    <row r="771" spans="1:12">
      <c r="A771" s="3" t="s">
        <v>1624</v>
      </c>
      <c r="B771" s="4" t="s">
        <v>1625</v>
      </c>
      <c r="C771" s="4" t="s">
        <v>406</v>
      </c>
      <c r="D771" s="4" t="s">
        <v>789</v>
      </c>
      <c r="E771" s="4" t="s">
        <v>790</v>
      </c>
      <c r="F771" s="4" t="s">
        <v>791</v>
      </c>
      <c r="G771" s="4" t="s">
        <v>408</v>
      </c>
      <c r="H771" s="5">
        <f>ROUND(8180,0)</f>
        <v>8180</v>
      </c>
      <c r="I771" s="6">
        <f>ROUND(1080.6,2)</f>
        <v>1080.5999999999999</v>
      </c>
      <c r="J771" s="6">
        <f>ROUND(0.12820804,2)</f>
        <v>0.13</v>
      </c>
      <c r="K771" s="5">
        <f>ROUND(1133270.35,0)</f>
        <v>1133270</v>
      </c>
      <c r="L771" s="7">
        <f>ROUND(0.000393859808971177,4)</f>
        <v>4.0000000000000002E-4</v>
      </c>
    </row>
    <row r="772" spans="1:12">
      <c r="A772" s="3" t="s">
        <v>1626</v>
      </c>
      <c r="B772" s="4" t="s">
        <v>1627</v>
      </c>
      <c r="C772" s="4" t="s">
        <v>534</v>
      </c>
      <c r="D772" s="4" t="s">
        <v>789</v>
      </c>
      <c r="E772" s="4" t="s">
        <v>790</v>
      </c>
      <c r="F772" s="4" t="s">
        <v>791</v>
      </c>
      <c r="G772" s="4" t="s">
        <v>408</v>
      </c>
      <c r="H772" s="5">
        <f>ROUND(21337,0)</f>
        <v>21337</v>
      </c>
      <c r="I772" s="6">
        <f>ROUND(413.95,2)</f>
        <v>413.95</v>
      </c>
      <c r="J772" s="6">
        <f>ROUND(0.12820804,2)</f>
        <v>0.13</v>
      </c>
      <c r="K772" s="5">
        <f>ROUND(1132391.25,0)</f>
        <v>1132391</v>
      </c>
      <c r="L772" s="7">
        <f>ROUND(0.000393554284205558,4)</f>
        <v>4.0000000000000002E-4</v>
      </c>
    </row>
    <row r="773" spans="1:12">
      <c r="A773" s="3" t="s">
        <v>1628</v>
      </c>
      <c r="B773" s="4" t="s">
        <v>1629</v>
      </c>
      <c r="C773" s="4" t="s">
        <v>406</v>
      </c>
      <c r="D773" s="4" t="s">
        <v>541</v>
      </c>
      <c r="E773" s="4" t="s">
        <v>542</v>
      </c>
      <c r="F773" s="4" t="s">
        <v>18</v>
      </c>
      <c r="G773" s="4" t="s">
        <v>408</v>
      </c>
      <c r="H773" s="5">
        <f>ROUND(779,0)</f>
        <v>779</v>
      </c>
      <c r="I773" s="6">
        <f>ROUND(146.75,2)</f>
        <v>146.75</v>
      </c>
      <c r="J773" s="6">
        <f>ROUND(9.9055,2)</f>
        <v>9.91</v>
      </c>
      <c r="K773" s="5">
        <f>ROUND(1132379.43,0)</f>
        <v>1132379</v>
      </c>
      <c r="L773" s="7">
        <f>ROUND(0.000393550176251139,4)</f>
        <v>4.0000000000000002E-4</v>
      </c>
    </row>
    <row r="774" spans="1:12">
      <c r="A774" s="3" t="s">
        <v>1630</v>
      </c>
      <c r="B774" s="4" t="s">
        <v>1631</v>
      </c>
      <c r="C774" s="4" t="s">
        <v>400</v>
      </c>
      <c r="D774" s="4" t="s">
        <v>514</v>
      </c>
      <c r="E774" s="4" t="s">
        <v>515</v>
      </c>
      <c r="F774" s="4" t="s">
        <v>190</v>
      </c>
      <c r="G774" s="4" t="s">
        <v>408</v>
      </c>
      <c r="H774" s="5">
        <f>ROUND(2500,0)</f>
        <v>2500</v>
      </c>
      <c r="I774" s="6">
        <f>ROUND(65.92,2)</f>
        <v>65.92</v>
      </c>
      <c r="J774" s="6">
        <f>ROUND(6.86237833,2)</f>
        <v>6.86</v>
      </c>
      <c r="K774" s="5">
        <f>ROUND(1130919.95,0)</f>
        <v>1130920</v>
      </c>
      <c r="L774" s="7">
        <f>ROUND(0.000393042944667786,4)</f>
        <v>4.0000000000000002E-4</v>
      </c>
    </row>
    <row r="775" spans="1:12">
      <c r="A775" s="3" t="s">
        <v>1632</v>
      </c>
      <c r="B775" s="4" t="s">
        <v>1633</v>
      </c>
      <c r="C775" s="4" t="s">
        <v>389</v>
      </c>
      <c r="D775" s="4" t="s">
        <v>489</v>
      </c>
      <c r="E775" s="4" t="s">
        <v>490</v>
      </c>
      <c r="F775" s="4" t="s">
        <v>45</v>
      </c>
      <c r="G775" s="4" t="s">
        <v>408</v>
      </c>
      <c r="H775" s="5">
        <f>ROUND(6300,0)</f>
        <v>6300</v>
      </c>
      <c r="I775" s="6">
        <f>ROUND(2125,2)</f>
        <v>2125</v>
      </c>
      <c r="J775" s="6">
        <f>ROUND(8.407077,2)</f>
        <v>8.41</v>
      </c>
      <c r="K775" s="5">
        <f>ROUND(1125497.43,0)</f>
        <v>1125497</v>
      </c>
      <c r="L775" s="7">
        <f>ROUND(0.000391158387561583,4)</f>
        <v>4.0000000000000002E-4</v>
      </c>
    </row>
    <row r="776" spans="1:12">
      <c r="A776" s="3" t="s">
        <v>1634</v>
      </c>
      <c r="B776" s="4" t="s">
        <v>1635</v>
      </c>
      <c r="C776" s="4" t="s">
        <v>406</v>
      </c>
      <c r="D776" s="4" t="s">
        <v>407</v>
      </c>
      <c r="E776" s="4" t="s">
        <v>35</v>
      </c>
      <c r="F776" s="4" t="s">
        <v>21</v>
      </c>
      <c r="G776" s="4" t="s">
        <v>408</v>
      </c>
      <c r="H776" s="5">
        <f>ROUND(900,0)</f>
        <v>900</v>
      </c>
      <c r="I776" s="6">
        <f>ROUND(137.25,2)</f>
        <v>137.25</v>
      </c>
      <c r="J776" s="6">
        <f>ROUND(9.08595,2)</f>
        <v>9.09</v>
      </c>
      <c r="K776" s="5">
        <f>ROUND(1122341.97,0)</f>
        <v>1122342</v>
      </c>
      <c r="L776" s="7">
        <f>ROUND(0.000390061730552232,4)</f>
        <v>4.0000000000000002E-4</v>
      </c>
    </row>
    <row r="777" spans="1:12">
      <c r="A777" s="3" t="s">
        <v>1636</v>
      </c>
      <c r="B777" s="4" t="s">
        <v>1637</v>
      </c>
      <c r="C777" s="4" t="s">
        <v>534</v>
      </c>
      <c r="D777" s="4" t="s">
        <v>520</v>
      </c>
      <c r="E777" s="4" t="s">
        <v>521</v>
      </c>
      <c r="F777" s="4" t="s">
        <v>18</v>
      </c>
      <c r="G777" s="4" t="s">
        <v>408</v>
      </c>
      <c r="H777" s="5">
        <f>ROUND(1725,0)</f>
        <v>1725</v>
      </c>
      <c r="I777" s="6">
        <f>ROUND(65.48,2)</f>
        <v>65.48</v>
      </c>
      <c r="J777" s="6">
        <f>ROUND(9.9055,2)</f>
        <v>9.91</v>
      </c>
      <c r="K777" s="5">
        <f>ROUND(1118855.94,0)</f>
        <v>1118856</v>
      </c>
      <c r="L777" s="7">
        <f>ROUND(0.000388850186360798,4)</f>
        <v>4.0000000000000002E-4</v>
      </c>
    </row>
    <row r="778" spans="1:12">
      <c r="A778" s="3" t="s">
        <v>1638</v>
      </c>
      <c r="B778" s="4" t="s">
        <v>1639</v>
      </c>
      <c r="C778" s="4" t="s">
        <v>445</v>
      </c>
      <c r="D778" s="4" t="s">
        <v>407</v>
      </c>
      <c r="E778" s="4" t="s">
        <v>35</v>
      </c>
      <c r="F778" s="4" t="s">
        <v>21</v>
      </c>
      <c r="G778" s="4" t="s">
        <v>408</v>
      </c>
      <c r="H778" s="5">
        <f>ROUND(1806,0)</f>
        <v>1806</v>
      </c>
      <c r="I778" s="6">
        <f>ROUND(68.17,2)</f>
        <v>68.17</v>
      </c>
      <c r="J778" s="6">
        <f>ROUND(9.08595,2)</f>
        <v>9.09</v>
      </c>
      <c r="K778" s="5">
        <f>ROUND(1118616.92,0)</f>
        <v>1118617</v>
      </c>
      <c r="L778" s="7">
        <f>ROUND(0.000388767116710612,4)</f>
        <v>4.0000000000000002E-4</v>
      </c>
    </row>
    <row r="779" spans="1:12">
      <c r="A779" s="3" t="s">
        <v>1640</v>
      </c>
      <c r="B779" s="4" t="s">
        <v>1641</v>
      </c>
      <c r="C779" s="4" t="s">
        <v>389</v>
      </c>
      <c r="D779" s="4" t="s">
        <v>489</v>
      </c>
      <c r="E779" s="4" t="s">
        <v>490</v>
      </c>
      <c r="F779" s="4" t="s">
        <v>45</v>
      </c>
      <c r="G779" s="4" t="s">
        <v>408</v>
      </c>
      <c r="H779" s="5">
        <f>ROUND(2800,0)</f>
        <v>2800</v>
      </c>
      <c r="I779" s="6">
        <f>ROUND(4749,2)</f>
        <v>4749</v>
      </c>
      <c r="J779" s="6">
        <f>ROUND(8.407077,2)</f>
        <v>8.41</v>
      </c>
      <c r="K779" s="5">
        <f>ROUND(1117905.84,0)</f>
        <v>1117906</v>
      </c>
      <c r="L779" s="7">
        <f>ROUND(0.000388519986065252,4)</f>
        <v>4.0000000000000002E-4</v>
      </c>
    </row>
    <row r="780" spans="1:12">
      <c r="A780" s="3" t="s">
        <v>1642</v>
      </c>
      <c r="B780" s="4" t="s">
        <v>1643</v>
      </c>
      <c r="C780" s="4" t="s">
        <v>545</v>
      </c>
      <c r="D780" s="4" t="s">
        <v>423</v>
      </c>
      <c r="E780" s="4" t="s">
        <v>25</v>
      </c>
      <c r="F780" s="4" t="s">
        <v>16</v>
      </c>
      <c r="G780" s="4" t="s">
        <v>408</v>
      </c>
      <c r="H780" s="5">
        <f>ROUND(840,0)</f>
        <v>840</v>
      </c>
      <c r="I780" s="6">
        <f>ROUND(146,2)</f>
        <v>146</v>
      </c>
      <c r="J780" s="6">
        <f>ROUND(9.11185723,2)</f>
        <v>9.11</v>
      </c>
      <c r="K780" s="5">
        <f>ROUND(1117478.17,0)</f>
        <v>1117478</v>
      </c>
      <c r="L780" s="7">
        <f>ROUND(0.000388371352489422,4)</f>
        <v>4.0000000000000002E-4</v>
      </c>
    </row>
    <row r="781" spans="1:12">
      <c r="A781" s="3" t="s">
        <v>1644</v>
      </c>
      <c r="B781" s="4" t="s">
        <v>1645</v>
      </c>
      <c r="C781" s="4" t="s">
        <v>430</v>
      </c>
      <c r="D781" s="4" t="s">
        <v>407</v>
      </c>
      <c r="E781" s="4" t="s">
        <v>35</v>
      </c>
      <c r="F781" s="4" t="s">
        <v>21</v>
      </c>
      <c r="G781" s="4" t="s">
        <v>408</v>
      </c>
      <c r="H781" s="5">
        <f>ROUND(3059,0)</f>
        <v>3059</v>
      </c>
      <c r="I781" s="6">
        <f>ROUND(40.17,2)</f>
        <v>40.17</v>
      </c>
      <c r="J781" s="6">
        <f>ROUND(9.08595,2)</f>
        <v>9.09</v>
      </c>
      <c r="K781" s="5">
        <f>ROUND(1116481.81,0)</f>
        <v>1116482</v>
      </c>
      <c r="L781" s="7">
        <f>ROUND(0.000388025074869729,4)</f>
        <v>4.0000000000000002E-4</v>
      </c>
    </row>
    <row r="782" spans="1:12">
      <c r="A782" s="3" t="s">
        <v>1646</v>
      </c>
      <c r="B782" s="4" t="s">
        <v>1647</v>
      </c>
      <c r="C782" s="4" t="s">
        <v>400</v>
      </c>
      <c r="D782" s="4" t="s">
        <v>552</v>
      </c>
      <c r="E782" s="4" t="s">
        <v>553</v>
      </c>
      <c r="F782" s="4" t="s">
        <v>26</v>
      </c>
      <c r="G782" s="4" t="s">
        <v>408</v>
      </c>
      <c r="H782" s="5">
        <f>ROUND(5700,0)</f>
        <v>5700</v>
      </c>
      <c r="I782" s="6">
        <f>ROUND(169,2)</f>
        <v>169</v>
      </c>
      <c r="J782" s="6">
        <f>ROUND(1.15901246,2)</f>
        <v>1.1599999999999999</v>
      </c>
      <c r="K782" s="5">
        <f>ROUND(1116476.7,0)</f>
        <v>1116477</v>
      </c>
      <c r="L782" s="7">
        <f>ROUND(0.000388023298926659,4)</f>
        <v>4.0000000000000002E-4</v>
      </c>
    </row>
    <row r="783" spans="1:12">
      <c r="A783" s="3" t="s">
        <v>1648</v>
      </c>
      <c r="B783" s="4" t="s">
        <v>1649</v>
      </c>
      <c r="C783" s="4" t="s">
        <v>422</v>
      </c>
      <c r="D783" s="4" t="s">
        <v>489</v>
      </c>
      <c r="E783" s="4" t="s">
        <v>490</v>
      </c>
      <c r="F783" s="4" t="s">
        <v>45</v>
      </c>
      <c r="G783" s="4" t="s">
        <v>408</v>
      </c>
      <c r="H783" s="5">
        <f>ROUND(5800,0)</f>
        <v>5800</v>
      </c>
      <c r="I783" s="6">
        <f>ROUND(2288,2)</f>
        <v>2288</v>
      </c>
      <c r="J783" s="6">
        <f>ROUND(8.407077,2)</f>
        <v>8.41</v>
      </c>
      <c r="K783" s="5">
        <f>ROUND(1115652.75,0)</f>
        <v>1115653</v>
      </c>
      <c r="L783" s="7">
        <f>ROUND(0.000387736941139568,4)</f>
        <v>4.0000000000000002E-4</v>
      </c>
    </row>
    <row r="784" spans="1:12">
      <c r="A784" s="3" t="s">
        <v>1650</v>
      </c>
      <c r="B784" s="4" t="s">
        <v>1651</v>
      </c>
      <c r="C784" s="4" t="s">
        <v>400</v>
      </c>
      <c r="D784" s="4" t="s">
        <v>1652</v>
      </c>
      <c r="E784" s="4" t="s">
        <v>1653</v>
      </c>
      <c r="F784" s="4" t="s">
        <v>22</v>
      </c>
      <c r="G784" s="4" t="s">
        <v>408</v>
      </c>
      <c r="H784" s="5">
        <f>ROUND(44420,0)</f>
        <v>44420</v>
      </c>
      <c r="I784" s="6">
        <f>ROUND(143,2)</f>
        <v>143</v>
      </c>
      <c r="J784" s="6">
        <f>ROUND(0.17530276,2)</f>
        <v>0.18</v>
      </c>
      <c r="K784" s="5">
        <f>ROUND(1113533.65,0)</f>
        <v>1113534</v>
      </c>
      <c r="L784" s="7">
        <f>ROUND(0.000387000463456912,4)</f>
        <v>4.0000000000000002E-4</v>
      </c>
    </row>
    <row r="785" spans="1:12">
      <c r="A785" s="3" t="s">
        <v>1654</v>
      </c>
      <c r="B785" s="4" t="s">
        <v>1655</v>
      </c>
      <c r="C785" s="4" t="s">
        <v>445</v>
      </c>
      <c r="D785" s="4" t="s">
        <v>489</v>
      </c>
      <c r="E785" s="4" t="s">
        <v>490</v>
      </c>
      <c r="F785" s="4" t="s">
        <v>45</v>
      </c>
      <c r="G785" s="4" t="s">
        <v>408</v>
      </c>
      <c r="H785" s="5">
        <f>ROUND(3800,0)</f>
        <v>3800</v>
      </c>
      <c r="I785" s="6">
        <f>ROUND(3480,2)</f>
        <v>3480</v>
      </c>
      <c r="J785" s="6">
        <f>ROUND(8.407077,2)</f>
        <v>8.41</v>
      </c>
      <c r="K785" s="5">
        <f>ROUND(1111751.86,0)</f>
        <v>1111752</v>
      </c>
      <c r="L785" s="7">
        <f>ROUND(0.000386381215393971,4)</f>
        <v>4.0000000000000002E-4</v>
      </c>
    </row>
    <row r="786" spans="1:12">
      <c r="A786" s="3" t="s">
        <v>1656</v>
      </c>
      <c r="B786" s="4" t="s">
        <v>1657</v>
      </c>
      <c r="C786" s="4" t="s">
        <v>545</v>
      </c>
      <c r="D786" s="4" t="s">
        <v>1127</v>
      </c>
      <c r="E786" s="4" t="s">
        <v>1128</v>
      </c>
      <c r="F786" s="4" t="s">
        <v>21</v>
      </c>
      <c r="G786" s="4" t="s">
        <v>408</v>
      </c>
      <c r="H786" s="5">
        <f>ROUND(12544,0)</f>
        <v>12544</v>
      </c>
      <c r="I786" s="6">
        <f>ROUND(9.75,2)</f>
        <v>9.75</v>
      </c>
      <c r="J786" s="6">
        <f>ROUND(9.08595,2)</f>
        <v>9.09</v>
      </c>
      <c r="K786" s="5">
        <f>ROUND(1111248.03,0)</f>
        <v>1111248</v>
      </c>
      <c r="L786" s="7">
        <f>ROUND(0.00038620611296801,4)</f>
        <v>4.0000000000000002E-4</v>
      </c>
    </row>
    <row r="787" spans="1:12">
      <c r="A787" s="3" t="s">
        <v>1658</v>
      </c>
      <c r="B787" s="4" t="s">
        <v>1659</v>
      </c>
      <c r="C787" s="4" t="s">
        <v>400</v>
      </c>
      <c r="D787" s="4" t="s">
        <v>401</v>
      </c>
      <c r="E787" s="4" t="s">
        <v>402</v>
      </c>
      <c r="F787" s="4" t="s">
        <v>403</v>
      </c>
      <c r="G787" s="4" t="s">
        <v>408</v>
      </c>
      <c r="H787" s="5">
        <f>ROUND(312120,0)</f>
        <v>312120</v>
      </c>
      <c r="I787" s="6">
        <f>ROUND(12.1,2)</f>
        <v>12.1</v>
      </c>
      <c r="J787" s="6">
        <f>ROUND(0.29286371,2)</f>
        <v>0.28999999999999998</v>
      </c>
      <c r="K787" s="5">
        <f>ROUND(1106044.32,0)</f>
        <v>1106044</v>
      </c>
      <c r="L787" s="7">
        <f>ROUND(0.00038439760167453,4)</f>
        <v>4.0000000000000002E-4</v>
      </c>
    </row>
    <row r="788" spans="1:12">
      <c r="A788" s="3" t="s">
        <v>1660</v>
      </c>
      <c r="B788" s="4" t="s">
        <v>1661</v>
      </c>
      <c r="C788" s="4" t="s">
        <v>389</v>
      </c>
      <c r="D788" s="4" t="s">
        <v>407</v>
      </c>
      <c r="E788" s="4" t="s">
        <v>35</v>
      </c>
      <c r="F788" s="4" t="s">
        <v>21</v>
      </c>
      <c r="G788" s="4" t="s">
        <v>408</v>
      </c>
      <c r="H788" s="5">
        <f>ROUND(3869,0)</f>
        <v>3869</v>
      </c>
      <c r="I788" s="6">
        <f>ROUND(31.45,2)</f>
        <v>31.45</v>
      </c>
      <c r="J788" s="6">
        <f>ROUND(9.08595,2)</f>
        <v>9.09</v>
      </c>
      <c r="K788" s="5">
        <f>ROUND(1105578.85,0)</f>
        <v>1105579</v>
      </c>
      <c r="L788" s="7">
        <f>ROUND(0.000384235830985584,4)</f>
        <v>4.0000000000000002E-4</v>
      </c>
    </row>
    <row r="789" spans="1:12">
      <c r="A789" s="3" t="s">
        <v>1662</v>
      </c>
      <c r="B789" s="4" t="s">
        <v>1663</v>
      </c>
      <c r="C789" s="4" t="s">
        <v>389</v>
      </c>
      <c r="D789" s="4" t="s">
        <v>456</v>
      </c>
      <c r="E789" s="4" t="s">
        <v>457</v>
      </c>
      <c r="F789" s="4" t="s">
        <v>26</v>
      </c>
      <c r="G789" s="4" t="s">
        <v>408</v>
      </c>
      <c r="H789" s="5">
        <f>ROUND(11900,0)</f>
        <v>11900</v>
      </c>
      <c r="I789" s="6">
        <f>ROUND(80.1,2)</f>
        <v>80.099999999999994</v>
      </c>
      <c r="J789" s="6">
        <f>ROUND(1.15901246,2)</f>
        <v>1.1599999999999999</v>
      </c>
      <c r="K789" s="5">
        <f>ROUND(1104759.09,0)</f>
        <v>1104759</v>
      </c>
      <c r="L789" s="7">
        <f>ROUND(0.000383950929402301,4)</f>
        <v>4.0000000000000002E-4</v>
      </c>
    </row>
    <row r="790" spans="1:12">
      <c r="A790" s="3" t="s">
        <v>1664</v>
      </c>
      <c r="B790" s="4" t="s">
        <v>1665</v>
      </c>
      <c r="C790" s="4" t="s">
        <v>545</v>
      </c>
      <c r="D790" s="4" t="s">
        <v>486</v>
      </c>
      <c r="E790" s="4" t="s">
        <v>30</v>
      </c>
      <c r="F790" s="4" t="s">
        <v>20</v>
      </c>
      <c r="G790" s="4" t="s">
        <v>408</v>
      </c>
      <c r="H790" s="5">
        <f>ROUND(21091,0)</f>
        <v>21091</v>
      </c>
      <c r="I790" s="6">
        <f>ROUND(467.6,2)</f>
        <v>467.6</v>
      </c>
      <c r="J790" s="6">
        <f>ROUND(11.19645077,2)</f>
        <v>11.2</v>
      </c>
      <c r="K790" s="5">
        <f>ROUND(1104210.99,0)</f>
        <v>1104211</v>
      </c>
      <c r="L790" s="7">
        <f>ROUND(0.000383760441262117,4)</f>
        <v>4.0000000000000002E-4</v>
      </c>
    </row>
    <row r="791" spans="1:12">
      <c r="A791" s="3" t="s">
        <v>1666</v>
      </c>
      <c r="B791" s="4" t="s">
        <v>1667</v>
      </c>
      <c r="C791" s="4" t="s">
        <v>400</v>
      </c>
      <c r="D791" s="4" t="s">
        <v>655</v>
      </c>
      <c r="E791" s="4" t="s">
        <v>656</v>
      </c>
      <c r="F791" s="4" t="s">
        <v>26</v>
      </c>
      <c r="G791" s="4" t="s">
        <v>408</v>
      </c>
      <c r="H791" s="5">
        <f>ROUND(25500,0)</f>
        <v>25500</v>
      </c>
      <c r="I791" s="6">
        <f>ROUND(37.3,2)</f>
        <v>37.299999999999997</v>
      </c>
      <c r="J791" s="6">
        <f>ROUND(1.15901246,2)</f>
        <v>1.1599999999999999</v>
      </c>
      <c r="K791" s="5">
        <f>ROUND(1102394.7,0)</f>
        <v>1102395</v>
      </c>
      <c r="L791" s="7">
        <f>ROUND(0.000383129202976887,4)</f>
        <v>4.0000000000000002E-4</v>
      </c>
    </row>
    <row r="792" spans="1:12">
      <c r="A792" s="3" t="s">
        <v>1668</v>
      </c>
      <c r="B792" s="4" t="s">
        <v>1669</v>
      </c>
      <c r="C792" s="4" t="s">
        <v>545</v>
      </c>
      <c r="D792" s="4" t="s">
        <v>407</v>
      </c>
      <c r="E792" s="4" t="s">
        <v>35</v>
      </c>
      <c r="F792" s="4" t="s">
        <v>21</v>
      </c>
      <c r="G792" s="4" t="s">
        <v>408</v>
      </c>
      <c r="H792" s="5">
        <f>ROUND(800,0)</f>
        <v>800</v>
      </c>
      <c r="I792" s="6">
        <f>ROUND(151.24,2)</f>
        <v>151.24</v>
      </c>
      <c r="J792" s="6">
        <f>ROUND(9.08595,2)</f>
        <v>9.09</v>
      </c>
      <c r="K792" s="5">
        <f>ROUND(1099327.26,0)</f>
        <v>1099327</v>
      </c>
      <c r="L792" s="7">
        <f>ROUND(0.000382063136673793,4)</f>
        <v>4.0000000000000002E-4</v>
      </c>
    </row>
    <row r="793" spans="1:12">
      <c r="A793" s="3" t="s">
        <v>1670</v>
      </c>
      <c r="B793" s="4" t="s">
        <v>1671</v>
      </c>
      <c r="C793" s="4" t="s">
        <v>566</v>
      </c>
      <c r="D793" s="4" t="s">
        <v>1652</v>
      </c>
      <c r="E793" s="4" t="s">
        <v>1653</v>
      </c>
      <c r="F793" s="4" t="s">
        <v>22</v>
      </c>
      <c r="G793" s="4" t="s">
        <v>408</v>
      </c>
      <c r="H793" s="5">
        <f>ROUND(126800,0)</f>
        <v>126800</v>
      </c>
      <c r="I793" s="6">
        <f>ROUND(49.45,2)</f>
        <v>49.45</v>
      </c>
      <c r="J793" s="6">
        <f>ROUND(0.17530276,2)</f>
        <v>0.18</v>
      </c>
      <c r="K793" s="5">
        <f>ROUND(1099193.88,0)</f>
        <v>1099194</v>
      </c>
      <c r="L793" s="7">
        <f>ROUND(0.000382016781431797,4)</f>
        <v>4.0000000000000002E-4</v>
      </c>
    </row>
    <row r="794" spans="1:12">
      <c r="A794" s="3" t="s">
        <v>1672</v>
      </c>
      <c r="B794" s="4" t="s">
        <v>1673</v>
      </c>
      <c r="C794" s="4" t="s">
        <v>445</v>
      </c>
      <c r="D794" s="4" t="s">
        <v>577</v>
      </c>
      <c r="E794" s="4" t="s">
        <v>578</v>
      </c>
      <c r="F794" s="4" t="s">
        <v>18</v>
      </c>
      <c r="G794" s="4" t="s">
        <v>408</v>
      </c>
      <c r="H794" s="5">
        <f>ROUND(3688,0)</f>
        <v>3688</v>
      </c>
      <c r="I794" s="6">
        <f>ROUND(30.04,2)</f>
        <v>30.04</v>
      </c>
      <c r="J794" s="6">
        <f>ROUND(9.9055,2)</f>
        <v>9.91</v>
      </c>
      <c r="K794" s="5">
        <f>ROUND(1097405.78,0)</f>
        <v>1097406</v>
      </c>
      <c r="L794" s="7">
        <f>ROUND(0.000381395340374576,4)</f>
        <v>4.0000000000000002E-4</v>
      </c>
    </row>
    <row r="795" spans="1:12">
      <c r="A795" s="3" t="s">
        <v>1674</v>
      </c>
      <c r="B795" s="4" t="s">
        <v>1675</v>
      </c>
      <c r="C795" s="4" t="s">
        <v>400</v>
      </c>
      <c r="D795" s="4" t="s">
        <v>520</v>
      </c>
      <c r="E795" s="4" t="s">
        <v>521</v>
      </c>
      <c r="F795" s="4" t="s">
        <v>18</v>
      </c>
      <c r="G795" s="4" t="s">
        <v>408</v>
      </c>
      <c r="H795" s="5">
        <f>ROUND(9913,0)</f>
        <v>9913</v>
      </c>
      <c r="I795" s="6">
        <f>ROUND(11.14,2)</f>
        <v>11.14</v>
      </c>
      <c r="J795" s="6">
        <f>ROUND(9.9055,2)</f>
        <v>9.91</v>
      </c>
      <c r="K795" s="5">
        <f>ROUND(1093872.49,0)</f>
        <v>1093872</v>
      </c>
      <c r="L795" s="7">
        <f>ROUND(0.00038016737131632,4)</f>
        <v>4.0000000000000002E-4</v>
      </c>
    </row>
    <row r="796" spans="1:12">
      <c r="A796" s="3" t="s">
        <v>1676</v>
      </c>
      <c r="B796" s="4" t="s">
        <v>1677</v>
      </c>
      <c r="C796" s="4" t="s">
        <v>415</v>
      </c>
      <c r="D796" s="4" t="s">
        <v>1221</v>
      </c>
      <c r="E796" s="4" t="s">
        <v>1222</v>
      </c>
      <c r="F796" s="4" t="s">
        <v>1223</v>
      </c>
      <c r="G796" s="4" t="s">
        <v>408</v>
      </c>
      <c r="H796" s="5">
        <f>ROUND(53600,0)</f>
        <v>53600</v>
      </c>
      <c r="I796" s="6">
        <f>ROUND(3.1,2)</f>
        <v>3.1</v>
      </c>
      <c r="J796" s="6">
        <f>ROUND(6.57015886,2)</f>
        <v>6.57</v>
      </c>
      <c r="K796" s="5">
        <f>ROUND(1091697.6,0)</f>
        <v>1091698</v>
      </c>
      <c r="L796" s="7">
        <f>ROUND(0.000379411504227824,4)</f>
        <v>4.0000000000000002E-4</v>
      </c>
    </row>
    <row r="797" spans="1:12">
      <c r="A797" s="3" t="s">
        <v>1678</v>
      </c>
      <c r="B797" s="4" t="s">
        <v>1679</v>
      </c>
      <c r="C797" s="4" t="s">
        <v>389</v>
      </c>
      <c r="D797" s="4" t="s">
        <v>407</v>
      </c>
      <c r="E797" s="4" t="s">
        <v>35</v>
      </c>
      <c r="F797" s="4" t="s">
        <v>21</v>
      </c>
      <c r="G797" s="4" t="s">
        <v>408</v>
      </c>
      <c r="H797" s="5">
        <f>ROUND(2932,0)</f>
        <v>2932</v>
      </c>
      <c r="I797" s="6">
        <f>ROUND(40.94,2)</f>
        <v>40.94</v>
      </c>
      <c r="J797" s="6">
        <f>ROUND(9.08595,2)</f>
        <v>9.09</v>
      </c>
      <c r="K797" s="5">
        <f>ROUND(1090641.82,0)</f>
        <v>1090642</v>
      </c>
      <c r="L797" s="7">
        <f>ROUND(0.00037904457562238,4)</f>
        <v>4.0000000000000002E-4</v>
      </c>
    </row>
    <row r="798" spans="1:12">
      <c r="A798" s="3" t="s">
        <v>1680</v>
      </c>
      <c r="B798" s="4" t="s">
        <v>1681</v>
      </c>
      <c r="C798" s="4" t="s">
        <v>389</v>
      </c>
      <c r="D798" s="4" t="s">
        <v>407</v>
      </c>
      <c r="E798" s="4" t="s">
        <v>35</v>
      </c>
      <c r="F798" s="4" t="s">
        <v>21</v>
      </c>
      <c r="G798" s="4" t="s">
        <v>408</v>
      </c>
      <c r="H798" s="5">
        <f>ROUND(2417,0)</f>
        <v>2417</v>
      </c>
      <c r="I798" s="6">
        <f>ROUND(49.66,2)</f>
        <v>49.66</v>
      </c>
      <c r="J798" s="6">
        <f>ROUND(9.08595,2)</f>
        <v>9.09</v>
      </c>
      <c r="K798" s="5">
        <f>ROUND(1090570.41,0)</f>
        <v>1090570</v>
      </c>
      <c r="L798" s="7">
        <f>ROUND(0.000379019757599956,4)</f>
        <v>4.0000000000000002E-4</v>
      </c>
    </row>
    <row r="799" spans="1:12">
      <c r="A799" s="3" t="s">
        <v>1682</v>
      </c>
      <c r="B799" s="4" t="s">
        <v>1683</v>
      </c>
      <c r="C799" s="4" t="s">
        <v>389</v>
      </c>
      <c r="D799" s="4" t="s">
        <v>489</v>
      </c>
      <c r="E799" s="4" t="s">
        <v>490</v>
      </c>
      <c r="F799" s="4" t="s">
        <v>45</v>
      </c>
      <c r="G799" s="4" t="s">
        <v>408</v>
      </c>
      <c r="H799" s="5">
        <f>ROUND(3100,0)</f>
        <v>3100</v>
      </c>
      <c r="I799" s="6">
        <f>ROUND(4184,2)</f>
        <v>4184</v>
      </c>
      <c r="J799" s="6">
        <f>ROUND(8.407077,2)</f>
        <v>8.41</v>
      </c>
      <c r="K799" s="5">
        <f>ROUND(1090431.52,0)</f>
        <v>1090432</v>
      </c>
      <c r="L799" s="7">
        <f>ROUND(0.000378971487397822,4)</f>
        <v>4.0000000000000002E-4</v>
      </c>
    </row>
    <row r="800" spans="1:12">
      <c r="A800" s="3" t="s">
        <v>1684</v>
      </c>
      <c r="B800" s="4" t="s">
        <v>1685</v>
      </c>
      <c r="C800" s="4" t="s">
        <v>400</v>
      </c>
      <c r="D800" s="4" t="s">
        <v>655</v>
      </c>
      <c r="E800" s="4" t="s">
        <v>656</v>
      </c>
      <c r="F800" s="4" t="s">
        <v>26</v>
      </c>
      <c r="G800" s="4" t="s">
        <v>408</v>
      </c>
      <c r="H800" s="5">
        <f>ROUND(196000,0)</f>
        <v>196000</v>
      </c>
      <c r="I800" s="6">
        <f>ROUND(4.78,2)</f>
        <v>4.78</v>
      </c>
      <c r="J800" s="6">
        <f>ROUND(1.15901246,2)</f>
        <v>1.1599999999999999</v>
      </c>
      <c r="K800" s="5">
        <f>ROUND(1085855.59,0)</f>
        <v>1085856</v>
      </c>
      <c r="L800" s="7">
        <f>ROUND(0.000377381156444872,4)</f>
        <v>4.0000000000000002E-4</v>
      </c>
    </row>
    <row r="801" spans="1:12">
      <c r="A801" s="3" t="s">
        <v>1686</v>
      </c>
      <c r="B801" s="4" t="s">
        <v>1687</v>
      </c>
      <c r="C801" s="4" t="s">
        <v>406</v>
      </c>
      <c r="D801" s="4" t="s">
        <v>407</v>
      </c>
      <c r="E801" s="4" t="s">
        <v>35</v>
      </c>
      <c r="F801" s="4" t="s">
        <v>21</v>
      </c>
      <c r="G801" s="4" t="s">
        <v>408</v>
      </c>
      <c r="H801" s="5">
        <f>ROUND(578,0)</f>
        <v>578</v>
      </c>
      <c r="I801" s="6">
        <f>ROUND(206.37,2)</f>
        <v>206.37</v>
      </c>
      <c r="J801" s="6">
        <f>ROUND(9.08595,2)</f>
        <v>9.09</v>
      </c>
      <c r="K801" s="5">
        <f>ROUND(1083789.02,0)</f>
        <v>1083789</v>
      </c>
      <c r="L801" s="7">
        <f>ROUND(0.000376662935178935,4)</f>
        <v>4.0000000000000002E-4</v>
      </c>
    </row>
    <row r="802" spans="1:12">
      <c r="A802" s="3" t="s">
        <v>1688</v>
      </c>
      <c r="B802" s="4" t="s">
        <v>1689</v>
      </c>
      <c r="C802" s="4" t="s">
        <v>389</v>
      </c>
      <c r="D802" s="4" t="s">
        <v>1690</v>
      </c>
      <c r="E802" s="4" t="s">
        <v>1691</v>
      </c>
      <c r="F802" s="4" t="s">
        <v>21</v>
      </c>
      <c r="G802" s="4" t="s">
        <v>408</v>
      </c>
      <c r="H802" s="5">
        <f>ROUND(1100,0)</f>
        <v>1100</v>
      </c>
      <c r="I802" s="6">
        <f>ROUND(108.33,2)</f>
        <v>108.33</v>
      </c>
      <c r="J802" s="6">
        <f>ROUND(9.08595,2)</f>
        <v>9.09</v>
      </c>
      <c r="K802" s="5">
        <f>ROUND(1082709.06,0)</f>
        <v>1082709</v>
      </c>
      <c r="L802" s="7">
        <f>ROUND(0.00037628760299161,4)</f>
        <v>4.0000000000000002E-4</v>
      </c>
    </row>
    <row r="803" spans="1:12">
      <c r="A803" s="3" t="s">
        <v>1692</v>
      </c>
      <c r="B803" s="4" t="s">
        <v>1693</v>
      </c>
      <c r="C803" s="4" t="s">
        <v>534</v>
      </c>
      <c r="D803" s="4" t="s">
        <v>407</v>
      </c>
      <c r="E803" s="4" t="s">
        <v>35</v>
      </c>
      <c r="F803" s="4" t="s">
        <v>21</v>
      </c>
      <c r="G803" s="4" t="s">
        <v>408</v>
      </c>
      <c r="H803" s="5">
        <f>ROUND(699,0)</f>
        <v>699</v>
      </c>
      <c r="I803" s="6">
        <f>ROUND(169.97,2)</f>
        <v>169.97</v>
      </c>
      <c r="J803" s="6">
        <f>ROUND(9.08595,2)</f>
        <v>9.09</v>
      </c>
      <c r="K803" s="5">
        <f>ROUND(1079492.91,0)</f>
        <v>1079493</v>
      </c>
      <c r="L803" s="7">
        <f>ROUND(0.000375169853617312,4)</f>
        <v>4.0000000000000002E-4</v>
      </c>
    </row>
    <row r="804" spans="1:12">
      <c r="A804" s="3" t="s">
        <v>1694</v>
      </c>
      <c r="B804" s="4" t="s">
        <v>1695</v>
      </c>
      <c r="C804" s="4" t="s">
        <v>430</v>
      </c>
      <c r="D804" s="4" t="s">
        <v>407</v>
      </c>
      <c r="E804" s="4" t="s">
        <v>35</v>
      </c>
      <c r="F804" s="4" t="s">
        <v>21</v>
      </c>
      <c r="G804" s="4" t="s">
        <v>408</v>
      </c>
      <c r="H804" s="5">
        <f>ROUND(943,0)</f>
        <v>943</v>
      </c>
      <c r="I804" s="6">
        <f>ROUND(125.77,2)</f>
        <v>125.77</v>
      </c>
      <c r="J804" s="6">
        <f>ROUND(9.08595,2)</f>
        <v>9.09</v>
      </c>
      <c r="K804" s="5">
        <f>ROUND(1077603.76,0)</f>
        <v>1077604</v>
      </c>
      <c r="L804" s="7">
        <f>ROUND(0.000374513293372779,4)</f>
        <v>4.0000000000000002E-4</v>
      </c>
    </row>
    <row r="805" spans="1:12">
      <c r="A805" s="3" t="s">
        <v>1696</v>
      </c>
      <c r="B805" s="4" t="s">
        <v>1697</v>
      </c>
      <c r="C805" s="4" t="s">
        <v>534</v>
      </c>
      <c r="D805" s="4" t="s">
        <v>489</v>
      </c>
      <c r="E805" s="4" t="s">
        <v>490</v>
      </c>
      <c r="F805" s="4" t="s">
        <v>45</v>
      </c>
      <c r="G805" s="4" t="s">
        <v>408</v>
      </c>
      <c r="H805" s="5">
        <f>ROUND(1300,0)</f>
        <v>1300</v>
      </c>
      <c r="I805" s="6">
        <f>ROUND(9858,2)</f>
        <v>9858</v>
      </c>
      <c r="J805" s="6">
        <f>ROUND(8.407077,2)</f>
        <v>8.41</v>
      </c>
      <c r="K805" s="5">
        <f>ROUND(1077400.55,0)</f>
        <v>1077401</v>
      </c>
      <c r="L805" s="7">
        <f>ROUND(0.000374442669225786,4)</f>
        <v>4.0000000000000002E-4</v>
      </c>
    </row>
    <row r="806" spans="1:12">
      <c r="A806" s="3" t="s">
        <v>1698</v>
      </c>
      <c r="B806" s="4" t="s">
        <v>1699</v>
      </c>
      <c r="C806" s="4" t="s">
        <v>415</v>
      </c>
      <c r="D806" s="4" t="s">
        <v>401</v>
      </c>
      <c r="E806" s="4" t="s">
        <v>402</v>
      </c>
      <c r="F806" s="4" t="s">
        <v>403</v>
      </c>
      <c r="G806" s="4" t="s">
        <v>408</v>
      </c>
      <c r="H806" s="5">
        <f>ROUND(33000,0)</f>
        <v>33000</v>
      </c>
      <c r="I806" s="6">
        <f>ROUND(111,2)</f>
        <v>111</v>
      </c>
      <c r="J806" s="6">
        <f>ROUND(0.29286371,2)</f>
        <v>0.28999999999999998</v>
      </c>
      <c r="K806" s="5">
        <f>ROUND(1072759.77,0)</f>
        <v>1072760</v>
      </c>
      <c r="L806" s="7">
        <f>ROUND(0.00037282980013036,4)</f>
        <v>4.0000000000000002E-4</v>
      </c>
    </row>
    <row r="807" spans="1:12">
      <c r="A807" s="3" t="s">
        <v>1700</v>
      </c>
      <c r="B807" s="4" t="s">
        <v>1701</v>
      </c>
      <c r="C807" s="4" t="s">
        <v>566</v>
      </c>
      <c r="D807" s="4" t="s">
        <v>407</v>
      </c>
      <c r="E807" s="4" t="s">
        <v>35</v>
      </c>
      <c r="F807" s="4" t="s">
        <v>21</v>
      </c>
      <c r="G807" s="4" t="s">
        <v>408</v>
      </c>
      <c r="H807" s="5">
        <f>ROUND(12071,0)</f>
        <v>12071</v>
      </c>
      <c r="I807" s="6">
        <f>ROUND(9.78,2)</f>
        <v>9.7799999999999994</v>
      </c>
      <c r="J807" s="6">
        <f>ROUND(9.08595,2)</f>
        <v>9.09</v>
      </c>
      <c r="K807" s="5">
        <f>ROUND(1072636.19,0)</f>
        <v>1072636</v>
      </c>
      <c r="L807" s="7">
        <f>ROUND(0.00037278685080658,4)</f>
        <v>4.0000000000000002E-4</v>
      </c>
    </row>
    <row r="808" spans="1:12">
      <c r="A808" s="3" t="s">
        <v>1702</v>
      </c>
      <c r="B808" s="4" t="s">
        <v>1703</v>
      </c>
      <c r="C808" s="4" t="s">
        <v>445</v>
      </c>
      <c r="D808" s="4" t="s">
        <v>541</v>
      </c>
      <c r="E808" s="4" t="s">
        <v>542</v>
      </c>
      <c r="F808" s="4" t="s">
        <v>18</v>
      </c>
      <c r="G808" s="4" t="s">
        <v>408</v>
      </c>
      <c r="H808" s="5">
        <f>ROUND(2523,0)</f>
        <v>2523</v>
      </c>
      <c r="I808" s="6">
        <f>ROUND(42.895,2)</f>
        <v>42.9</v>
      </c>
      <c r="J808" s="6">
        <f>ROUND(9.9055,2)</f>
        <v>9.91</v>
      </c>
      <c r="K808" s="5">
        <f>ROUND(1072013.72,0)</f>
        <v>1072014</v>
      </c>
      <c r="L808" s="7">
        <f>ROUND(0.000372570515917654,4)</f>
        <v>4.0000000000000002E-4</v>
      </c>
    </row>
    <row r="809" spans="1:12">
      <c r="A809" s="3" t="s">
        <v>1704</v>
      </c>
      <c r="B809" s="4" t="s">
        <v>1705</v>
      </c>
      <c r="C809" s="4" t="s">
        <v>415</v>
      </c>
      <c r="D809" s="4" t="s">
        <v>407</v>
      </c>
      <c r="E809" s="4" t="s">
        <v>35</v>
      </c>
      <c r="F809" s="4" t="s">
        <v>21</v>
      </c>
      <c r="G809" s="4" t="s">
        <v>408</v>
      </c>
      <c r="H809" s="5">
        <f>ROUND(940,0)</f>
        <v>940</v>
      </c>
      <c r="I809" s="6">
        <f>ROUND(125.34,2)</f>
        <v>125.34</v>
      </c>
      <c r="J809" s="6">
        <f>ROUND(9.08595,2)</f>
        <v>9.09</v>
      </c>
      <c r="K809" s="5">
        <f>ROUND(1070502.99,0)</f>
        <v>1070503</v>
      </c>
      <c r="L809" s="7">
        <f>ROUND(0.000372045472772206,4)</f>
        <v>4.0000000000000002E-4</v>
      </c>
    </row>
    <row r="810" spans="1:12">
      <c r="A810" s="3" t="s">
        <v>1706</v>
      </c>
      <c r="B810" s="4" t="s">
        <v>1707</v>
      </c>
      <c r="C810" s="4" t="s">
        <v>400</v>
      </c>
      <c r="D810" s="4" t="s">
        <v>407</v>
      </c>
      <c r="E810" s="4" t="s">
        <v>35</v>
      </c>
      <c r="F810" s="4" t="s">
        <v>21</v>
      </c>
      <c r="G810" s="4" t="s">
        <v>408</v>
      </c>
      <c r="H810" s="5">
        <f>ROUND(800,0)</f>
        <v>800</v>
      </c>
      <c r="I810" s="6">
        <f>ROUND(147.1,2)</f>
        <v>147.1</v>
      </c>
      <c r="J810" s="6">
        <f>ROUND(9.08595,2)</f>
        <v>9.09</v>
      </c>
      <c r="K810" s="5">
        <f>ROUND(1069234.6,0)</f>
        <v>1069235</v>
      </c>
      <c r="L810" s="7">
        <f>ROUND(0.000371604653118625,4)</f>
        <v>4.0000000000000002E-4</v>
      </c>
    </row>
    <row r="811" spans="1:12">
      <c r="A811" s="3" t="s">
        <v>1708</v>
      </c>
      <c r="B811" s="4" t="s">
        <v>1709</v>
      </c>
      <c r="C811" s="4" t="s">
        <v>415</v>
      </c>
      <c r="D811" s="4" t="s">
        <v>407</v>
      </c>
      <c r="E811" s="4" t="s">
        <v>35</v>
      </c>
      <c r="F811" s="4" t="s">
        <v>21</v>
      </c>
      <c r="G811" s="4" t="s">
        <v>408</v>
      </c>
      <c r="H811" s="5">
        <f>ROUND(1500,0)</f>
        <v>1500</v>
      </c>
      <c r="I811" s="6">
        <f>ROUND(78.3,2)</f>
        <v>78.3</v>
      </c>
      <c r="J811" s="6">
        <f>ROUND(9.08595,2)</f>
        <v>9.09</v>
      </c>
      <c r="K811" s="5">
        <f>ROUND(1067144.83,0)</f>
        <v>1067145</v>
      </c>
      <c r="L811" s="7">
        <f>ROUND(0.000370878368862627,4)</f>
        <v>4.0000000000000002E-4</v>
      </c>
    </row>
    <row r="812" spans="1:12">
      <c r="A812" s="3" t="s">
        <v>1710</v>
      </c>
      <c r="B812" s="4" t="s">
        <v>1711</v>
      </c>
      <c r="C812" s="4" t="s">
        <v>400</v>
      </c>
      <c r="D812" s="4" t="s">
        <v>395</v>
      </c>
      <c r="E812" s="4" t="s">
        <v>396</v>
      </c>
      <c r="F812" s="4" t="s">
        <v>397</v>
      </c>
      <c r="G812" s="4" t="s">
        <v>408</v>
      </c>
      <c r="H812" s="5">
        <f>ROUND(10728,0)</f>
        <v>10728</v>
      </c>
      <c r="I812" s="6">
        <f>ROUND(45.49,2)</f>
        <v>45.49</v>
      </c>
      <c r="J812" s="6">
        <f>ROUND(2.18129969,2)</f>
        <v>2.1800000000000002</v>
      </c>
      <c r="K812" s="5">
        <f>ROUND(1064510.72,0)</f>
        <v>1064511</v>
      </c>
      <c r="L812" s="7">
        <f>ROUND(0.000369962903226904,4)</f>
        <v>4.0000000000000002E-4</v>
      </c>
    </row>
    <row r="813" spans="1:12">
      <c r="A813" s="3" t="s">
        <v>1712</v>
      </c>
      <c r="B813" s="4" t="s">
        <v>1713</v>
      </c>
      <c r="C813" s="4" t="s">
        <v>566</v>
      </c>
      <c r="D813" s="4" t="s">
        <v>407</v>
      </c>
      <c r="E813" s="4" t="s">
        <v>35</v>
      </c>
      <c r="F813" s="4" t="s">
        <v>21</v>
      </c>
      <c r="G813" s="4" t="s">
        <v>408</v>
      </c>
      <c r="H813" s="5">
        <f>ROUND(900,0)</f>
        <v>900</v>
      </c>
      <c r="I813" s="6">
        <f>ROUND(129.66,2)</f>
        <v>129.66</v>
      </c>
      <c r="J813" s="6">
        <f>ROUND(9.08595,2)</f>
        <v>9.09</v>
      </c>
      <c r="K813" s="5">
        <f>ROUND(1060275.85,0)</f>
        <v>1060276</v>
      </c>
      <c r="L813" s="7">
        <f>ROUND(0.0003684911051787,4)</f>
        <v>4.0000000000000002E-4</v>
      </c>
    </row>
    <row r="814" spans="1:12">
      <c r="A814" s="3" t="s">
        <v>1714</v>
      </c>
      <c r="B814" s="4" t="s">
        <v>1715</v>
      </c>
      <c r="C814" s="4" t="s">
        <v>534</v>
      </c>
      <c r="D814" s="4" t="s">
        <v>423</v>
      </c>
      <c r="E814" s="4" t="s">
        <v>25</v>
      </c>
      <c r="F814" s="4" t="s">
        <v>16</v>
      </c>
      <c r="G814" s="4" t="s">
        <v>408</v>
      </c>
      <c r="H814" s="5">
        <f>ROUND(47,0)</f>
        <v>47</v>
      </c>
      <c r="I814" s="6">
        <f>ROUND(2474,2)</f>
        <v>2474</v>
      </c>
      <c r="J814" s="6">
        <f>ROUND(9.11185723,2)</f>
        <v>9.11</v>
      </c>
      <c r="K814" s="5">
        <f>ROUND(1059508.53,0)</f>
        <v>1059509</v>
      </c>
      <c r="L814" s="7">
        <f>ROUND(0.000368224428733296,4)</f>
        <v>4.0000000000000002E-4</v>
      </c>
    </row>
    <row r="815" spans="1:12">
      <c r="A815" s="3" t="s">
        <v>1716</v>
      </c>
      <c r="B815" s="4" t="s">
        <v>1717</v>
      </c>
      <c r="C815" s="4" t="s">
        <v>534</v>
      </c>
      <c r="D815" s="4" t="s">
        <v>407</v>
      </c>
      <c r="E815" s="4" t="s">
        <v>35</v>
      </c>
      <c r="F815" s="4" t="s">
        <v>21</v>
      </c>
      <c r="G815" s="4" t="s">
        <v>408</v>
      </c>
      <c r="H815" s="5">
        <f>ROUND(3567,0)</f>
        <v>3567</v>
      </c>
      <c r="I815" s="6">
        <f>ROUND(32.67,2)</f>
        <v>32.67</v>
      </c>
      <c r="J815" s="6">
        <f>ROUND(9.08595,2)</f>
        <v>9.09</v>
      </c>
      <c r="K815" s="5">
        <f>ROUND(1058821.1,0)</f>
        <v>1058821</v>
      </c>
      <c r="L815" s="7">
        <f>ROUND(0.0003679855174722,4)</f>
        <v>4.0000000000000002E-4</v>
      </c>
    </row>
    <row r="816" spans="1:12">
      <c r="A816" s="3" t="s">
        <v>1718</v>
      </c>
      <c r="B816" s="4" t="s">
        <v>1719</v>
      </c>
      <c r="C816" s="4" t="s">
        <v>534</v>
      </c>
      <c r="D816" s="4" t="s">
        <v>569</v>
      </c>
      <c r="E816" s="4" t="s">
        <v>570</v>
      </c>
      <c r="F816" s="4" t="s">
        <v>19</v>
      </c>
      <c r="G816" s="4" t="s">
        <v>408</v>
      </c>
      <c r="H816" s="5">
        <f>ROUND(1500,0)</f>
        <v>1500</v>
      </c>
      <c r="I816" s="6">
        <f>ROUND(531.8,2)</f>
        <v>531.79999999999995</v>
      </c>
      <c r="J816" s="6">
        <f>ROUND(1.3267035,2)</f>
        <v>1.33</v>
      </c>
      <c r="K816" s="5">
        <f>ROUND(1058311.38,0)</f>
        <v>1058311</v>
      </c>
      <c r="L816" s="7">
        <f>ROUND(0.000367808368019884,4)</f>
        <v>4.0000000000000002E-4</v>
      </c>
    </row>
    <row r="817" spans="1:12">
      <c r="A817" s="3" t="s">
        <v>1720</v>
      </c>
      <c r="B817" s="4" t="s">
        <v>1721</v>
      </c>
      <c r="C817" s="4" t="s">
        <v>445</v>
      </c>
      <c r="D817" s="4" t="s">
        <v>552</v>
      </c>
      <c r="E817" s="4" t="s">
        <v>553</v>
      </c>
      <c r="F817" s="4" t="s">
        <v>26</v>
      </c>
      <c r="G817" s="4" t="s">
        <v>408</v>
      </c>
      <c r="H817" s="5">
        <f>ROUND(58000,0)</f>
        <v>58000</v>
      </c>
      <c r="I817" s="6">
        <f>ROUND(15.74,2)</f>
        <v>15.74</v>
      </c>
      <c r="J817" s="6">
        <f>ROUND(1.15901246,2)</f>
        <v>1.1599999999999999</v>
      </c>
      <c r="K817" s="5">
        <f>ROUND(1058085.65,0)</f>
        <v>1058086</v>
      </c>
      <c r="L817" s="7">
        <f>ROUND(0.000367729917211849,4)</f>
        <v>4.0000000000000002E-4</v>
      </c>
    </row>
    <row r="818" spans="1:12">
      <c r="A818" s="3" t="s">
        <v>1722</v>
      </c>
      <c r="B818" s="4" t="s">
        <v>1723</v>
      </c>
      <c r="C818" s="4" t="s">
        <v>430</v>
      </c>
      <c r="D818" s="4" t="s">
        <v>1724</v>
      </c>
      <c r="E818" s="4" t="s">
        <v>1725</v>
      </c>
      <c r="F818" s="4" t="s">
        <v>1726</v>
      </c>
      <c r="G818" s="4" t="s">
        <v>408</v>
      </c>
      <c r="H818" s="5">
        <f>ROUND(143100,0)</f>
        <v>143100</v>
      </c>
      <c r="I818" s="6">
        <f>ROUND(3.4,2)</f>
        <v>3.4</v>
      </c>
      <c r="J818" s="6">
        <f>ROUND(2.17002213,2)</f>
        <v>2.17</v>
      </c>
      <c r="K818" s="5">
        <f>ROUND(1055802.57,0)</f>
        <v>1055803</v>
      </c>
      <c r="L818" s="7">
        <f>ROUND(0.000366936449481342,4)</f>
        <v>4.0000000000000002E-4</v>
      </c>
    </row>
    <row r="819" spans="1:12">
      <c r="A819" s="3" t="s">
        <v>1727</v>
      </c>
      <c r="B819" s="4" t="s">
        <v>1728</v>
      </c>
      <c r="C819" s="4" t="s">
        <v>406</v>
      </c>
      <c r="D819" s="4" t="s">
        <v>520</v>
      </c>
      <c r="E819" s="4" t="s">
        <v>521</v>
      </c>
      <c r="F819" s="4" t="s">
        <v>18</v>
      </c>
      <c r="G819" s="4" t="s">
        <v>408</v>
      </c>
      <c r="H819" s="5">
        <f>ROUND(986,0)</f>
        <v>986</v>
      </c>
      <c r="I819" s="6">
        <f>ROUND(108.1,2)</f>
        <v>108.1</v>
      </c>
      <c r="J819" s="6">
        <f>ROUND(9.9055,2)</f>
        <v>9.91</v>
      </c>
      <c r="K819" s="5">
        <f>ROUND(1055793.57,0)</f>
        <v>1055794</v>
      </c>
      <c r="L819" s="7">
        <f>ROUND(0.000366933321597266,4)</f>
        <v>4.0000000000000002E-4</v>
      </c>
    </row>
    <row r="820" spans="1:12">
      <c r="A820" s="3" t="s">
        <v>1729</v>
      </c>
      <c r="B820" s="4" t="s">
        <v>1730</v>
      </c>
      <c r="C820" s="4" t="s">
        <v>545</v>
      </c>
      <c r="D820" s="4" t="s">
        <v>407</v>
      </c>
      <c r="E820" s="4" t="s">
        <v>35</v>
      </c>
      <c r="F820" s="4" t="s">
        <v>21</v>
      </c>
      <c r="G820" s="4" t="s">
        <v>408</v>
      </c>
      <c r="H820" s="5">
        <f>ROUND(2774,0)</f>
        <v>2774</v>
      </c>
      <c r="I820" s="6">
        <f>ROUND(41.82,2)</f>
        <v>41.82</v>
      </c>
      <c r="J820" s="6">
        <f>ROUND(9.08595,2)</f>
        <v>9.09</v>
      </c>
      <c r="K820" s="5">
        <f>ROUND(1054049.07,0)</f>
        <v>1054049</v>
      </c>
      <c r="L820" s="7">
        <f>ROUND(0.000366327033400677,4)</f>
        <v>4.0000000000000002E-4</v>
      </c>
    </row>
    <row r="821" spans="1:12">
      <c r="A821" s="3" t="s">
        <v>1731</v>
      </c>
      <c r="B821" s="4" t="s">
        <v>1732</v>
      </c>
      <c r="C821" s="4" t="s">
        <v>430</v>
      </c>
      <c r="D821" s="4" t="s">
        <v>395</v>
      </c>
      <c r="E821" s="4" t="s">
        <v>396</v>
      </c>
      <c r="F821" s="4" t="s">
        <v>397</v>
      </c>
      <c r="G821" s="4" t="s">
        <v>408</v>
      </c>
      <c r="H821" s="5">
        <f>ROUND(9080,0)</f>
        <v>9080</v>
      </c>
      <c r="I821" s="6">
        <f>ROUND(53.2,2)</f>
        <v>53.2</v>
      </c>
      <c r="J821" s="6">
        <f>ROUND(2.18129969,2)</f>
        <v>2.1800000000000002</v>
      </c>
      <c r="K821" s="5">
        <f>ROUND(1053689.9,0)</f>
        <v>1053690</v>
      </c>
      <c r="L821" s="7">
        <f>ROUND(0.000366202206498086,4)</f>
        <v>4.0000000000000002E-4</v>
      </c>
    </row>
    <row r="822" spans="1:12">
      <c r="A822" s="3" t="s">
        <v>1733</v>
      </c>
      <c r="B822" s="4" t="s">
        <v>1734</v>
      </c>
      <c r="C822" s="4" t="s">
        <v>389</v>
      </c>
      <c r="D822" s="4" t="s">
        <v>456</v>
      </c>
      <c r="E822" s="4" t="s">
        <v>457</v>
      </c>
      <c r="F822" s="4" t="s">
        <v>21</v>
      </c>
      <c r="G822" s="4" t="s">
        <v>408</v>
      </c>
      <c r="H822" s="5">
        <f>ROUND(3381,0)</f>
        <v>3381</v>
      </c>
      <c r="I822" s="6">
        <f>ROUND(34.24,2)</f>
        <v>34.24</v>
      </c>
      <c r="J822" s="6">
        <f>ROUND(9.08595,2)</f>
        <v>9.09</v>
      </c>
      <c r="K822" s="5">
        <f>ROUND(1051839,0)</f>
        <v>1051839</v>
      </c>
      <c r="L822" s="7">
        <f>ROUND(0.000365558939760873,4)</f>
        <v>4.0000000000000002E-4</v>
      </c>
    </row>
    <row r="823" spans="1:12">
      <c r="A823" s="3" t="s">
        <v>1735</v>
      </c>
      <c r="B823" s="4" t="s">
        <v>1736</v>
      </c>
      <c r="C823" s="4" t="s">
        <v>445</v>
      </c>
      <c r="D823" s="4" t="s">
        <v>496</v>
      </c>
      <c r="E823" s="4" t="s">
        <v>497</v>
      </c>
      <c r="F823" s="4" t="s">
        <v>21</v>
      </c>
      <c r="G823" s="4" t="s">
        <v>408</v>
      </c>
      <c r="H823" s="5">
        <f>ROUND(801,0)</f>
        <v>801</v>
      </c>
      <c r="I823" s="6">
        <f>ROUND(144.49,2)</f>
        <v>144.49</v>
      </c>
      <c r="J823" s="6">
        <f>ROUND(9.08595,2)</f>
        <v>9.09</v>
      </c>
      <c r="K823" s="5">
        <f>ROUND(1051575.96,0)</f>
        <v>1051576</v>
      </c>
      <c r="L823" s="7">
        <f>ROUND(0.000365467522135633,4)</f>
        <v>4.0000000000000002E-4</v>
      </c>
    </row>
    <row r="824" spans="1:12">
      <c r="A824" s="3" t="s">
        <v>1737</v>
      </c>
      <c r="B824" s="4" t="s">
        <v>1738</v>
      </c>
      <c r="C824" s="4" t="s">
        <v>415</v>
      </c>
      <c r="D824" s="4" t="s">
        <v>401</v>
      </c>
      <c r="E824" s="4" t="s">
        <v>402</v>
      </c>
      <c r="F824" s="4" t="s">
        <v>403</v>
      </c>
      <c r="G824" s="4" t="s">
        <v>408</v>
      </c>
      <c r="H824" s="5">
        <f>ROUND(32000,0)</f>
        <v>32000</v>
      </c>
      <c r="I824" s="6">
        <f>ROUND(112,2)</f>
        <v>112</v>
      </c>
      <c r="J824" s="6">
        <f>ROUND(0.29286371,2)</f>
        <v>0.28999999999999998</v>
      </c>
      <c r="K824" s="5">
        <f>ROUND(1049623.54,0)</f>
        <v>1049624</v>
      </c>
      <c r="L824" s="7">
        <f>ROUND(0.000364788972866051,4)</f>
        <v>4.0000000000000002E-4</v>
      </c>
    </row>
    <row r="825" spans="1:12">
      <c r="A825" s="3" t="s">
        <v>1739</v>
      </c>
      <c r="B825" s="4" t="s">
        <v>1740</v>
      </c>
      <c r="C825" s="4" t="s">
        <v>534</v>
      </c>
      <c r="D825" s="4" t="s">
        <v>1127</v>
      </c>
      <c r="E825" s="4" t="s">
        <v>1128</v>
      </c>
      <c r="F825" s="4" t="s">
        <v>20</v>
      </c>
      <c r="G825" s="4" t="s">
        <v>408</v>
      </c>
      <c r="H825" s="5">
        <f>ROUND(1575,0)</f>
        <v>1575</v>
      </c>
      <c r="I825" s="6">
        <f>ROUND(5944,2)</f>
        <v>5944</v>
      </c>
      <c r="J825" s="6">
        <f>ROUND(11.19645077,2)</f>
        <v>11.2</v>
      </c>
      <c r="K825" s="5">
        <f>ROUND(1048189.33,0)</f>
        <v>1048189</v>
      </c>
      <c r="L825" s="7">
        <f>ROUND(0.000364290523686096,4)</f>
        <v>4.0000000000000002E-4</v>
      </c>
    </row>
    <row r="826" spans="1:12">
      <c r="A826" s="3" t="s">
        <v>1741</v>
      </c>
      <c r="B826" s="4" t="s">
        <v>1742</v>
      </c>
      <c r="C826" s="4" t="s">
        <v>534</v>
      </c>
      <c r="D826" s="4" t="s">
        <v>407</v>
      </c>
      <c r="E826" s="4" t="s">
        <v>35</v>
      </c>
      <c r="F826" s="4" t="s">
        <v>21</v>
      </c>
      <c r="G826" s="4" t="s">
        <v>408</v>
      </c>
      <c r="H826" s="5">
        <f>ROUND(700,0)</f>
        <v>700</v>
      </c>
      <c r="I826" s="6">
        <f>ROUND(164.8,2)</f>
        <v>164.8</v>
      </c>
      <c r="J826" s="6">
        <f>ROUND(9.08595,2)</f>
        <v>9.09</v>
      </c>
      <c r="K826" s="5">
        <f>ROUND(1048155.19,0)</f>
        <v>1048155</v>
      </c>
      <c r="L826" s="7">
        <f>ROUND(0.000364278658579171,4)</f>
        <v>4.0000000000000002E-4</v>
      </c>
    </row>
    <row r="827" spans="1:12">
      <c r="A827" s="3" t="s">
        <v>1743</v>
      </c>
      <c r="B827" s="4" t="s">
        <v>1744</v>
      </c>
      <c r="C827" s="4" t="s">
        <v>566</v>
      </c>
      <c r="D827" s="4" t="s">
        <v>456</v>
      </c>
      <c r="E827" s="4" t="s">
        <v>457</v>
      </c>
      <c r="F827" s="4" t="s">
        <v>26</v>
      </c>
      <c r="G827" s="4" t="s">
        <v>408</v>
      </c>
      <c r="H827" s="5">
        <f>ROUND(17000,0)</f>
        <v>17000</v>
      </c>
      <c r="I827" s="6">
        <f>ROUND(53.1,2)</f>
        <v>53.1</v>
      </c>
      <c r="J827" s="6">
        <f>ROUND(1.15901246,2)</f>
        <v>1.1599999999999999</v>
      </c>
      <c r="K827" s="5">
        <f>ROUND(1046240.55,0)</f>
        <v>1046241</v>
      </c>
      <c r="L827" s="7">
        <f>ROUND(0.000363613239471851,4)</f>
        <v>4.0000000000000002E-4</v>
      </c>
    </row>
    <row r="828" spans="1:12">
      <c r="A828" s="3" t="s">
        <v>1745</v>
      </c>
      <c r="B828" s="4" t="s">
        <v>1746</v>
      </c>
      <c r="C828" s="4" t="s">
        <v>400</v>
      </c>
      <c r="D828" s="4" t="s">
        <v>407</v>
      </c>
      <c r="E828" s="4" t="s">
        <v>35</v>
      </c>
      <c r="F828" s="4" t="s">
        <v>21</v>
      </c>
      <c r="G828" s="4" t="s">
        <v>408</v>
      </c>
      <c r="H828" s="5">
        <f>ROUND(351,0)</f>
        <v>351</v>
      </c>
      <c r="I828" s="6">
        <f>ROUND(327.5,2)</f>
        <v>327.5</v>
      </c>
      <c r="J828" s="6">
        <f>ROUND(9.08595,2)</f>
        <v>9.09</v>
      </c>
      <c r="K828" s="5">
        <f>ROUND(1044452.67,0)</f>
        <v>1044453</v>
      </c>
      <c r="L828" s="7">
        <f>ROUND(0.000362991874874019,4)</f>
        <v>4.0000000000000002E-4</v>
      </c>
    </row>
    <row r="829" spans="1:12">
      <c r="A829" s="3" t="s">
        <v>1747</v>
      </c>
      <c r="B829" s="4" t="s">
        <v>1748</v>
      </c>
      <c r="C829" s="4" t="s">
        <v>534</v>
      </c>
      <c r="D829" s="4" t="s">
        <v>489</v>
      </c>
      <c r="E829" s="4" t="s">
        <v>490</v>
      </c>
      <c r="F829" s="4" t="s">
        <v>45</v>
      </c>
      <c r="G829" s="4" t="s">
        <v>408</v>
      </c>
      <c r="H829" s="5">
        <f>ROUND(7600,0)</f>
        <v>7600</v>
      </c>
      <c r="I829" s="6">
        <f>ROUND(1634.5,2)</f>
        <v>1634.5</v>
      </c>
      <c r="J829" s="6">
        <f>ROUND(8.407077,2)</f>
        <v>8.41</v>
      </c>
      <c r="K829" s="5">
        <f>ROUND(1044343.92,0)</f>
        <v>1044344</v>
      </c>
      <c r="L829" s="7">
        <f>ROUND(0.000362954079608109,4)</f>
        <v>4.0000000000000002E-4</v>
      </c>
    </row>
    <row r="830" spans="1:12">
      <c r="A830" s="3" t="s">
        <v>1749</v>
      </c>
      <c r="B830" s="4" t="s">
        <v>1750</v>
      </c>
      <c r="C830" s="4" t="s">
        <v>545</v>
      </c>
      <c r="D830" s="4" t="s">
        <v>514</v>
      </c>
      <c r="E830" s="4" t="s">
        <v>515</v>
      </c>
      <c r="F830" s="4" t="s">
        <v>190</v>
      </c>
      <c r="G830" s="4" t="s">
        <v>408</v>
      </c>
      <c r="H830" s="5">
        <f>ROUND(1258,0)</f>
        <v>1258</v>
      </c>
      <c r="I830" s="6">
        <f>ROUND(120.72,2)</f>
        <v>120.72</v>
      </c>
      <c r="J830" s="6">
        <f>ROUND(6.86237833,2)</f>
        <v>6.86</v>
      </c>
      <c r="K830" s="5">
        <f>ROUND(1042160.3,0)</f>
        <v>1042160</v>
      </c>
      <c r="L830" s="7">
        <f>ROUND(0.00036219517847206,4)</f>
        <v>4.0000000000000002E-4</v>
      </c>
    </row>
    <row r="831" spans="1:12">
      <c r="A831" s="3" t="s">
        <v>1751</v>
      </c>
      <c r="B831" s="4" t="s">
        <v>1752</v>
      </c>
      <c r="C831" s="4" t="s">
        <v>422</v>
      </c>
      <c r="D831" s="4" t="s">
        <v>541</v>
      </c>
      <c r="E831" s="4" t="s">
        <v>542</v>
      </c>
      <c r="F831" s="4" t="s">
        <v>18</v>
      </c>
      <c r="G831" s="4" t="s">
        <v>408</v>
      </c>
      <c r="H831" s="5">
        <f>ROUND(972,0)</f>
        <v>972</v>
      </c>
      <c r="I831" s="6">
        <f>ROUND(108.2,2)</f>
        <v>108.2</v>
      </c>
      <c r="J831" s="6">
        <f>ROUND(9.9055,2)</f>
        <v>9.91</v>
      </c>
      <c r="K831" s="5">
        <f>ROUND(1041765.4,0)</f>
        <v>1041765</v>
      </c>
      <c r="L831" s="7">
        <f>ROUND(0.000362057933869691,4)</f>
        <v>4.0000000000000002E-4</v>
      </c>
    </row>
    <row r="832" spans="1:12">
      <c r="A832" s="3" t="s">
        <v>1469</v>
      </c>
      <c r="B832" s="4" t="s">
        <v>1753</v>
      </c>
      <c r="C832" s="4" t="s">
        <v>534</v>
      </c>
      <c r="D832" s="4" t="s">
        <v>1024</v>
      </c>
      <c r="E832" s="4" t="s">
        <v>1025</v>
      </c>
      <c r="F832" s="4" t="s">
        <v>1026</v>
      </c>
      <c r="G832" s="4" t="s">
        <v>408</v>
      </c>
      <c r="H832" s="5">
        <f>ROUND(4222,0)</f>
        <v>4222</v>
      </c>
      <c r="I832" s="6">
        <f>ROUND(266.8,2)</f>
        <v>266.8</v>
      </c>
      <c r="J832" s="6">
        <f>ROUND(0.92410673,2)</f>
        <v>0.92</v>
      </c>
      <c r="K832" s="5">
        <f>ROUND(1040941.17,0)</f>
        <v>1040941</v>
      </c>
      <c r="L832" s="7">
        <f>ROUND(0.000361771478770651,4)</f>
        <v>4.0000000000000002E-4</v>
      </c>
    </row>
    <row r="833" spans="1:12">
      <c r="A833" s="3" t="s">
        <v>1754</v>
      </c>
      <c r="B833" s="4" t="s">
        <v>1755</v>
      </c>
      <c r="C833" s="4" t="s">
        <v>400</v>
      </c>
      <c r="D833" s="4" t="s">
        <v>390</v>
      </c>
      <c r="E833" s="4" t="s">
        <v>391</v>
      </c>
      <c r="F833" s="4" t="s">
        <v>72</v>
      </c>
      <c r="G833" s="4" t="s">
        <v>408</v>
      </c>
      <c r="H833" s="5">
        <f>ROUND(21484,0)</f>
        <v>21484</v>
      </c>
      <c r="I833" s="6">
        <f>ROUND(7.9,2)</f>
        <v>7.9</v>
      </c>
      <c r="J833" s="6">
        <f>ROUND(6.12812423,2)</f>
        <v>6.13</v>
      </c>
      <c r="K833" s="5">
        <f>ROUND(1040087.31,0)</f>
        <v>1040087</v>
      </c>
      <c r="L833" s="7">
        <f>ROUND(0.00036147472598215,4)</f>
        <v>4.0000000000000002E-4</v>
      </c>
    </row>
    <row r="834" spans="1:12">
      <c r="A834" s="3" t="s">
        <v>1756</v>
      </c>
      <c r="B834" s="4" t="s">
        <v>1757</v>
      </c>
      <c r="C834" s="4" t="s">
        <v>566</v>
      </c>
      <c r="D834" s="4" t="s">
        <v>489</v>
      </c>
      <c r="E834" s="4" t="s">
        <v>490</v>
      </c>
      <c r="F834" s="4" t="s">
        <v>45</v>
      </c>
      <c r="G834" s="4" t="s">
        <v>408</v>
      </c>
      <c r="H834" s="5">
        <f>ROUND(3000,0)</f>
        <v>3000</v>
      </c>
      <c r="I834" s="6">
        <f>ROUND(4113,2)</f>
        <v>4113</v>
      </c>
      <c r="J834" s="6">
        <f>ROUND(8.407077,2)</f>
        <v>8.41</v>
      </c>
      <c r="K834" s="5">
        <f>ROUND(1037349.23,0)</f>
        <v>1037349</v>
      </c>
      <c r="L834" s="7">
        <f>ROUND(0.000360523126334504,4)</f>
        <v>4.0000000000000002E-4</v>
      </c>
    </row>
    <row r="835" spans="1:12">
      <c r="A835" s="3" t="s">
        <v>1758</v>
      </c>
      <c r="B835" s="4" t="s">
        <v>1759</v>
      </c>
      <c r="C835" s="4" t="s">
        <v>389</v>
      </c>
      <c r="D835" s="4" t="s">
        <v>489</v>
      </c>
      <c r="E835" s="4" t="s">
        <v>490</v>
      </c>
      <c r="F835" s="4" t="s">
        <v>45</v>
      </c>
      <c r="G835" s="4" t="s">
        <v>408</v>
      </c>
      <c r="H835" s="5">
        <f>ROUND(6800,0)</f>
        <v>6800</v>
      </c>
      <c r="I835" s="6">
        <f>ROUND(1805,2)</f>
        <v>1805</v>
      </c>
      <c r="J835" s="6">
        <f>ROUND(8.407077,2)</f>
        <v>8.41</v>
      </c>
      <c r="K835" s="5">
        <f>ROUND(1031884.63,0)</f>
        <v>1031885</v>
      </c>
      <c r="L835" s="7">
        <f>ROUND(0.000358623944632535,4)</f>
        <v>4.0000000000000002E-4</v>
      </c>
    </row>
    <row r="836" spans="1:12">
      <c r="A836" s="3" t="s">
        <v>1760</v>
      </c>
      <c r="B836" s="4" t="s">
        <v>1761</v>
      </c>
      <c r="C836" s="4" t="s">
        <v>430</v>
      </c>
      <c r="D836" s="4" t="s">
        <v>514</v>
      </c>
      <c r="E836" s="4" t="s">
        <v>515</v>
      </c>
      <c r="F836" s="4" t="s">
        <v>190</v>
      </c>
      <c r="G836" s="4" t="s">
        <v>408</v>
      </c>
      <c r="H836" s="5">
        <f>ROUND(11917,0)</f>
        <v>11917</v>
      </c>
      <c r="I836" s="6">
        <f>ROUND(12.58,2)</f>
        <v>12.58</v>
      </c>
      <c r="J836" s="6">
        <f>ROUND(6.86237833,2)</f>
        <v>6.86</v>
      </c>
      <c r="K836" s="5">
        <f>ROUND(1028779.35,0)</f>
        <v>1028779</v>
      </c>
      <c r="L836" s="7">
        <f>ROUND(0.000357544727314618,4)</f>
        <v>4.0000000000000002E-4</v>
      </c>
    </row>
    <row r="837" spans="1:12">
      <c r="A837" s="3" t="s">
        <v>1762</v>
      </c>
      <c r="B837" s="4" t="s">
        <v>1763</v>
      </c>
      <c r="C837" s="4" t="s">
        <v>545</v>
      </c>
      <c r="D837" s="4" t="s">
        <v>1111</v>
      </c>
      <c r="E837" s="4" t="s">
        <v>1112</v>
      </c>
      <c r="F837" s="4" t="s">
        <v>18</v>
      </c>
      <c r="G837" s="4" t="s">
        <v>408</v>
      </c>
      <c r="H837" s="5">
        <f>ROUND(3827,0)</f>
        <v>3827</v>
      </c>
      <c r="I837" s="6">
        <f>ROUND(27.12,2)</f>
        <v>27.12</v>
      </c>
      <c r="J837" s="6">
        <f>ROUND(9.9055,2)</f>
        <v>9.91</v>
      </c>
      <c r="K837" s="5">
        <f>ROUND(1028074.41,0)</f>
        <v>1028074</v>
      </c>
      <c r="L837" s="7">
        <f>ROUND(0.000357299730581282,4)</f>
        <v>4.0000000000000002E-4</v>
      </c>
    </row>
    <row r="838" spans="1:12">
      <c r="A838" s="3" t="s">
        <v>1764</v>
      </c>
      <c r="B838" s="4" t="s">
        <v>1765</v>
      </c>
      <c r="C838" s="4" t="s">
        <v>534</v>
      </c>
      <c r="D838" s="4" t="s">
        <v>407</v>
      </c>
      <c r="E838" s="4" t="s">
        <v>35</v>
      </c>
      <c r="F838" s="4" t="s">
        <v>21</v>
      </c>
      <c r="G838" s="4" t="s">
        <v>408</v>
      </c>
      <c r="H838" s="5">
        <f>ROUND(800,0)</f>
        <v>800</v>
      </c>
      <c r="I838" s="6">
        <f>ROUND(140.67,2)</f>
        <v>140.66999999999999</v>
      </c>
      <c r="J838" s="6">
        <f>ROUND(9.08595,2)</f>
        <v>9.09</v>
      </c>
      <c r="K838" s="5">
        <f>ROUND(1022496.47,0)</f>
        <v>1022496</v>
      </c>
      <c r="L838" s="7">
        <f>ROUND(0.000355361158392525,4)</f>
        <v>4.0000000000000002E-4</v>
      </c>
    </row>
    <row r="839" spans="1:12">
      <c r="A839" s="3" t="s">
        <v>1766</v>
      </c>
      <c r="B839" s="4" t="s">
        <v>1767</v>
      </c>
      <c r="C839" s="4" t="s">
        <v>406</v>
      </c>
      <c r="D839" s="4" t="s">
        <v>489</v>
      </c>
      <c r="E839" s="4" t="s">
        <v>490</v>
      </c>
      <c r="F839" s="4" t="s">
        <v>45</v>
      </c>
      <c r="G839" s="4" t="s">
        <v>408</v>
      </c>
      <c r="H839" s="5">
        <f>ROUND(1400,0)</f>
        <v>1400</v>
      </c>
      <c r="I839" s="6">
        <f>ROUND(8655,2)</f>
        <v>8655</v>
      </c>
      <c r="J839" s="6">
        <f>ROUND(8.407077,2)</f>
        <v>8.41</v>
      </c>
      <c r="K839" s="5">
        <f>ROUND(1018685.52,0)</f>
        <v>1018686</v>
      </c>
      <c r="L839" s="7">
        <f>ROUND(0.00035403669063512,4)</f>
        <v>4.0000000000000002E-4</v>
      </c>
    </row>
    <row r="840" spans="1:12">
      <c r="A840" s="3" t="s">
        <v>1768</v>
      </c>
      <c r="B840" s="4" t="s">
        <v>1769</v>
      </c>
      <c r="C840" s="4" t="s">
        <v>400</v>
      </c>
      <c r="D840" s="4" t="s">
        <v>1333</v>
      </c>
      <c r="E840" s="4" t="s">
        <v>3</v>
      </c>
      <c r="F840" s="4" t="s">
        <v>1334</v>
      </c>
      <c r="G840" s="4" t="s">
        <v>408</v>
      </c>
      <c r="H840" s="5">
        <f>ROUND(228000,0)</f>
        <v>228000</v>
      </c>
      <c r="I840" s="6">
        <f>ROUND(6975,2)</f>
        <v>6975</v>
      </c>
      <c r="J840" s="6">
        <f>ROUND(6.4008,2)</f>
        <v>6.4</v>
      </c>
      <c r="K840" s="5">
        <f>ROUND(1017919.22,0)</f>
        <v>1017919</v>
      </c>
      <c r="L840" s="7">
        <f>ROUND(0.000353770368683244,4)</f>
        <v>4.0000000000000002E-4</v>
      </c>
    </row>
    <row r="841" spans="1:12">
      <c r="A841" s="3" t="s">
        <v>1770</v>
      </c>
      <c r="B841" s="4" t="s">
        <v>1771</v>
      </c>
      <c r="C841" s="4" t="s">
        <v>545</v>
      </c>
      <c r="D841" s="4" t="s">
        <v>789</v>
      </c>
      <c r="E841" s="4" t="s">
        <v>790</v>
      </c>
      <c r="F841" s="4" t="s">
        <v>791</v>
      </c>
      <c r="G841" s="4" t="s">
        <v>408</v>
      </c>
      <c r="H841" s="5">
        <f>ROUND(13144,0)</f>
        <v>13144</v>
      </c>
      <c r="I841" s="6">
        <f>ROUND(603.95,2)</f>
        <v>603.95000000000005</v>
      </c>
      <c r="J841" s="6">
        <f>ROUND(0.12820804,2)</f>
        <v>0.13</v>
      </c>
      <c r="K841" s="5">
        <f>ROUND(1017756.29,0)</f>
        <v>1017756</v>
      </c>
      <c r="L841" s="7">
        <f>ROUND(0.000353713743555202,4)</f>
        <v>4.0000000000000002E-4</v>
      </c>
    </row>
    <row r="842" spans="1:12">
      <c r="A842" s="3" t="s">
        <v>1772</v>
      </c>
      <c r="B842" s="4" t="s">
        <v>1773</v>
      </c>
      <c r="C842" s="4" t="s">
        <v>422</v>
      </c>
      <c r="D842" s="4" t="s">
        <v>407</v>
      </c>
      <c r="E842" s="4" t="s">
        <v>35</v>
      </c>
      <c r="F842" s="4" t="s">
        <v>21</v>
      </c>
      <c r="G842" s="4" t="s">
        <v>408</v>
      </c>
      <c r="H842" s="5">
        <f>ROUND(3648,0)</f>
        <v>3648</v>
      </c>
      <c r="I842" s="6">
        <f>ROUND(30.68,2)</f>
        <v>30.68</v>
      </c>
      <c r="J842" s="6">
        <f>ROUND(9.08595,2)</f>
        <v>9.09</v>
      </c>
      <c r="K842" s="5">
        <f>ROUND(1016905.34,0)</f>
        <v>1016905</v>
      </c>
      <c r="L842" s="7">
        <f>ROUND(0.000353418002115885,4)</f>
        <v>4.0000000000000002E-4</v>
      </c>
    </row>
    <row r="843" spans="1:12">
      <c r="A843" s="3" t="s">
        <v>1774</v>
      </c>
      <c r="B843" s="4" t="s">
        <v>1775</v>
      </c>
      <c r="C843" s="4" t="s">
        <v>493</v>
      </c>
      <c r="D843" s="4" t="s">
        <v>390</v>
      </c>
      <c r="E843" s="4" t="s">
        <v>391</v>
      </c>
      <c r="F843" s="4" t="s">
        <v>72</v>
      </c>
      <c r="G843" s="4" t="s">
        <v>408</v>
      </c>
      <c r="H843" s="5">
        <f>ROUND(14362,0)</f>
        <v>14362</v>
      </c>
      <c r="I843" s="6">
        <f>ROUND(11.46,2)</f>
        <v>11.46</v>
      </c>
      <c r="J843" s="6">
        <f>ROUND(6.12812423,2)</f>
        <v>6.13</v>
      </c>
      <c r="K843" s="5">
        <f>ROUND(1008618.9,0)</f>
        <v>1008619</v>
      </c>
      <c r="L843" s="7">
        <f>ROUND(0.000350538110591809,4)</f>
        <v>4.0000000000000002E-4</v>
      </c>
    </row>
    <row r="844" spans="1:12">
      <c r="A844" s="3" t="s">
        <v>1776</v>
      </c>
      <c r="B844" s="4" t="s">
        <v>1777</v>
      </c>
      <c r="C844" s="4" t="s">
        <v>389</v>
      </c>
      <c r="D844" s="4" t="s">
        <v>577</v>
      </c>
      <c r="E844" s="4" t="s">
        <v>578</v>
      </c>
      <c r="F844" s="4" t="s">
        <v>18</v>
      </c>
      <c r="G844" s="4" t="s">
        <v>408</v>
      </c>
      <c r="H844" s="5">
        <f>ROUND(718,0)</f>
        <v>718</v>
      </c>
      <c r="I844" s="6">
        <f>ROUND(141.55,2)</f>
        <v>141.55000000000001</v>
      </c>
      <c r="J844" s="6">
        <f>ROUND(9.9055,2)</f>
        <v>9.91</v>
      </c>
      <c r="K844" s="5">
        <f>ROUND(1006724.69,0)</f>
        <v>1006725</v>
      </c>
      <c r="L844" s="7">
        <f>ROUND(0.000349879791781341,4)</f>
        <v>2.9999999999999997E-4</v>
      </c>
    </row>
    <row r="845" spans="1:12">
      <c r="A845" s="3" t="s">
        <v>1778</v>
      </c>
      <c r="B845" s="4" t="s">
        <v>1779</v>
      </c>
      <c r="C845" s="4" t="s">
        <v>406</v>
      </c>
      <c r="D845" s="4" t="s">
        <v>514</v>
      </c>
      <c r="E845" s="4" t="s">
        <v>515</v>
      </c>
      <c r="F845" s="4" t="s">
        <v>190</v>
      </c>
      <c r="G845" s="4" t="s">
        <v>408</v>
      </c>
      <c r="H845" s="5">
        <f>ROUND(1400,0)</f>
        <v>1400</v>
      </c>
      <c r="I845" s="6">
        <f>ROUND(104.76,2)</f>
        <v>104.76</v>
      </c>
      <c r="J845" s="6">
        <f>ROUND(6.86237833,2)</f>
        <v>6.86</v>
      </c>
      <c r="K845" s="5">
        <f>ROUND(1006463.86,0)</f>
        <v>1006464</v>
      </c>
      <c r="L845" s="7">
        <f>ROUND(0.000349789142225413,4)</f>
        <v>2.9999999999999997E-4</v>
      </c>
    </row>
    <row r="846" spans="1:12">
      <c r="A846" s="3" t="s">
        <v>1780</v>
      </c>
      <c r="B846" s="4" t="s">
        <v>1781</v>
      </c>
      <c r="C846" s="4" t="s">
        <v>389</v>
      </c>
      <c r="D846" s="4" t="s">
        <v>407</v>
      </c>
      <c r="E846" s="4" t="s">
        <v>35</v>
      </c>
      <c r="F846" s="4" t="s">
        <v>21</v>
      </c>
      <c r="G846" s="4" t="s">
        <v>408</v>
      </c>
      <c r="H846" s="5">
        <f>ROUND(2100,0)</f>
        <v>2100</v>
      </c>
      <c r="I846" s="6">
        <f>ROUND(52.71,2)</f>
        <v>52.71</v>
      </c>
      <c r="J846" s="6">
        <f>ROUND(9.08595,2)</f>
        <v>9.09</v>
      </c>
      <c r="K846" s="5">
        <f>ROUND(1005732.89,0)</f>
        <v>1005733</v>
      </c>
      <c r="L846" s="7">
        <f>ROUND(0.000349535098956246,4)</f>
        <v>2.9999999999999997E-4</v>
      </c>
    </row>
    <row r="847" spans="1:12">
      <c r="A847" s="3" t="s">
        <v>1782</v>
      </c>
      <c r="B847" s="4" t="s">
        <v>1783</v>
      </c>
      <c r="C847" s="4" t="s">
        <v>406</v>
      </c>
      <c r="D847" s="4" t="s">
        <v>407</v>
      </c>
      <c r="E847" s="4" t="s">
        <v>35</v>
      </c>
      <c r="F847" s="4" t="s">
        <v>21</v>
      </c>
      <c r="G847" s="4" t="s">
        <v>408</v>
      </c>
      <c r="H847" s="5">
        <f>ROUND(500,0)</f>
        <v>500</v>
      </c>
      <c r="I847" s="6">
        <f>ROUND(221.36,2)</f>
        <v>221.36</v>
      </c>
      <c r="J847" s="6">
        <f>ROUND(9.08595,2)</f>
        <v>9.09</v>
      </c>
      <c r="K847" s="5">
        <f>ROUND(1005632.95,0)</f>
        <v>1005633</v>
      </c>
      <c r="L847" s="7">
        <f>ROUND(0.000349500365541303,4)</f>
        <v>2.9999999999999997E-4</v>
      </c>
    </row>
    <row r="848" spans="1:12">
      <c r="A848" s="3" t="s">
        <v>1784</v>
      </c>
      <c r="B848" s="4" t="s">
        <v>1785</v>
      </c>
      <c r="C848" s="4" t="s">
        <v>566</v>
      </c>
      <c r="D848" s="4" t="s">
        <v>390</v>
      </c>
      <c r="E848" s="4" t="s">
        <v>391</v>
      </c>
      <c r="F848" s="4" t="s">
        <v>72</v>
      </c>
      <c r="G848" s="4" t="s">
        <v>408</v>
      </c>
      <c r="H848" s="5">
        <f>ROUND(41739,0)</f>
        <v>41739</v>
      </c>
      <c r="I848" s="6">
        <f>ROUND(3.93,2)</f>
        <v>3.93</v>
      </c>
      <c r="J848" s="6">
        <f>ROUND(6.12812423,2)</f>
        <v>6.13</v>
      </c>
      <c r="K848" s="5">
        <f>ROUND(1005222.38,0)</f>
        <v>1005222</v>
      </c>
      <c r="L848" s="7">
        <f>ROUND(0.000349357674945216,4)</f>
        <v>2.9999999999999997E-4</v>
      </c>
    </row>
    <row r="849" spans="1:12">
      <c r="A849" s="3" t="s">
        <v>1786</v>
      </c>
      <c r="B849" s="4" t="s">
        <v>1787</v>
      </c>
      <c r="C849" s="4" t="s">
        <v>389</v>
      </c>
      <c r="D849" s="4" t="s">
        <v>577</v>
      </c>
      <c r="E849" s="4" t="s">
        <v>578</v>
      </c>
      <c r="F849" s="4" t="s">
        <v>18</v>
      </c>
      <c r="G849" s="4" t="s">
        <v>408</v>
      </c>
      <c r="H849" s="5">
        <f>ROUND(8544,0)</f>
        <v>8544</v>
      </c>
      <c r="I849" s="6">
        <f>ROUND(11.872,2)</f>
        <v>11.87</v>
      </c>
      <c r="J849" s="6">
        <f>ROUND(9.9055,2)</f>
        <v>9.91</v>
      </c>
      <c r="K849" s="5">
        <f>ROUND(1004758.15,0)</f>
        <v>1004758</v>
      </c>
      <c r="L849" s="7">
        <f>ROUND(0.000349196335209187,4)</f>
        <v>2.9999999999999997E-4</v>
      </c>
    </row>
    <row r="850" spans="1:12">
      <c r="A850" s="3" t="s">
        <v>1788</v>
      </c>
      <c r="B850" s="4" t="s">
        <v>1789</v>
      </c>
      <c r="C850" s="4" t="s">
        <v>400</v>
      </c>
      <c r="D850" s="4" t="s">
        <v>407</v>
      </c>
      <c r="E850" s="4" t="s">
        <v>35</v>
      </c>
      <c r="F850" s="4" t="s">
        <v>21</v>
      </c>
      <c r="G850" s="4" t="s">
        <v>408</v>
      </c>
      <c r="H850" s="5">
        <f>ROUND(699,0)</f>
        <v>699</v>
      </c>
      <c r="I850" s="6">
        <f>ROUND(157.97,2)</f>
        <v>157.97</v>
      </c>
      <c r="J850" s="6">
        <f>ROUND(9.08595,2)</f>
        <v>9.09</v>
      </c>
      <c r="K850" s="5">
        <f>ROUND(1003279.96,0)</f>
        <v>1003280</v>
      </c>
      <c r="L850" s="7">
        <f>ROUND(0.000348682601102385,4)</f>
        <v>2.9999999999999997E-4</v>
      </c>
    </row>
    <row r="851" spans="1:12">
      <c r="A851" s="3" t="s">
        <v>1790</v>
      </c>
      <c r="B851" s="4" t="s">
        <v>1791</v>
      </c>
      <c r="C851" s="4" t="s">
        <v>400</v>
      </c>
      <c r="D851" s="4" t="s">
        <v>1724</v>
      </c>
      <c r="E851" s="4" t="s">
        <v>1725</v>
      </c>
      <c r="F851" s="4" t="s">
        <v>1726</v>
      </c>
      <c r="G851" s="4" t="s">
        <v>408</v>
      </c>
      <c r="H851" s="5">
        <f>ROUND(23000,0)</f>
        <v>23000</v>
      </c>
      <c r="I851" s="6">
        <f>ROUND(20.08,2)</f>
        <v>20.079999999999998</v>
      </c>
      <c r="J851" s="6">
        <f>ROUND(2.17002213,2)</f>
        <v>2.17</v>
      </c>
      <c r="K851" s="5">
        <f>ROUND(1002203.02,0)</f>
        <v>1002203</v>
      </c>
      <c r="L851" s="7">
        <f>ROUND(0.000348308318493938,4)</f>
        <v>2.9999999999999997E-4</v>
      </c>
    </row>
    <row r="852" spans="1:12">
      <c r="A852" s="3" t="s">
        <v>1792</v>
      </c>
      <c r="B852" s="4" t="s">
        <v>1793</v>
      </c>
      <c r="C852" s="4" t="s">
        <v>389</v>
      </c>
      <c r="D852" s="4" t="s">
        <v>407</v>
      </c>
      <c r="E852" s="4" t="s">
        <v>35</v>
      </c>
      <c r="F852" s="4" t="s">
        <v>21</v>
      </c>
      <c r="G852" s="4" t="s">
        <v>408</v>
      </c>
      <c r="H852" s="5">
        <f>ROUND(131,0)</f>
        <v>131</v>
      </c>
      <c r="I852" s="6">
        <f>ROUND(840.47,2)</f>
        <v>840.47</v>
      </c>
      <c r="J852" s="6">
        <f>ROUND(9.08595,2)</f>
        <v>9.09</v>
      </c>
      <c r="K852" s="5">
        <f>ROUND(1000377.36,0)</f>
        <v>1000377</v>
      </c>
      <c r="L852" s="7">
        <f>ROUND(0.000347673823733843,4)</f>
        <v>2.9999999999999997E-4</v>
      </c>
    </row>
    <row r="853" spans="1:12">
      <c r="A853" s="3" t="s">
        <v>1794</v>
      </c>
      <c r="B853" s="4" t="s">
        <v>1795</v>
      </c>
      <c r="C853" s="4" t="s">
        <v>545</v>
      </c>
      <c r="D853" s="4" t="s">
        <v>407</v>
      </c>
      <c r="E853" s="4" t="s">
        <v>35</v>
      </c>
      <c r="F853" s="4" t="s">
        <v>21</v>
      </c>
      <c r="G853" s="4" t="s">
        <v>408</v>
      </c>
      <c r="H853" s="5">
        <f>ROUND(400,0)</f>
        <v>400</v>
      </c>
      <c r="I853" s="6">
        <f>ROUND(274.1,2)</f>
        <v>274.10000000000002</v>
      </c>
      <c r="J853" s="6">
        <f>ROUND(9.08595,2)</f>
        <v>9.09</v>
      </c>
      <c r="K853" s="5">
        <f>ROUND(996183.56,0)</f>
        <v>996184</v>
      </c>
      <c r="L853" s="7">
        <f>ROUND(0.000346216299263302,4)</f>
        <v>2.9999999999999997E-4</v>
      </c>
    </row>
    <row r="854" spans="1:12">
      <c r="A854" s="3" t="s">
        <v>1796</v>
      </c>
      <c r="B854" s="4" t="s">
        <v>1797</v>
      </c>
      <c r="C854" s="4" t="s">
        <v>422</v>
      </c>
      <c r="D854" s="4" t="s">
        <v>407</v>
      </c>
      <c r="E854" s="4" t="s">
        <v>35</v>
      </c>
      <c r="F854" s="4" t="s">
        <v>21</v>
      </c>
      <c r="G854" s="4" t="s">
        <v>408</v>
      </c>
      <c r="H854" s="5">
        <f>ROUND(1904,0)</f>
        <v>1904</v>
      </c>
      <c r="I854" s="6">
        <f>ROUND(57.5,2)</f>
        <v>57.5</v>
      </c>
      <c r="J854" s="6">
        <f>ROUND(9.08595,2)</f>
        <v>9.09</v>
      </c>
      <c r="K854" s="5">
        <f>ROUND(994729.81,0)</f>
        <v>994730</v>
      </c>
      <c r="L854" s="7">
        <f>ROUND(0.000345711059099477,4)</f>
        <v>2.9999999999999997E-4</v>
      </c>
    </row>
    <row r="855" spans="1:12">
      <c r="A855" s="3" t="s">
        <v>1798</v>
      </c>
      <c r="B855" s="4" t="s">
        <v>1799</v>
      </c>
      <c r="C855" s="4" t="s">
        <v>493</v>
      </c>
      <c r="D855" s="4" t="s">
        <v>520</v>
      </c>
      <c r="E855" s="4" t="s">
        <v>521</v>
      </c>
      <c r="F855" s="4" t="s">
        <v>18</v>
      </c>
      <c r="G855" s="4" t="s">
        <v>408</v>
      </c>
      <c r="H855" s="5">
        <f>ROUND(9760,0)</f>
        <v>9760</v>
      </c>
      <c r="I855" s="6">
        <f>ROUND(10.27,2)</f>
        <v>10.27</v>
      </c>
      <c r="J855" s="6">
        <f>ROUND(9.9055,2)</f>
        <v>9.91</v>
      </c>
      <c r="K855" s="5">
        <f>ROUND(992879.77,0)</f>
        <v>992880</v>
      </c>
      <c r="L855" s="7">
        <f>ROUND(0.000345068091248964,4)</f>
        <v>2.9999999999999997E-4</v>
      </c>
    </row>
    <row r="856" spans="1:12">
      <c r="A856" s="3" t="s">
        <v>1800</v>
      </c>
      <c r="B856" s="4" t="s">
        <v>1801</v>
      </c>
      <c r="C856" s="4" t="s">
        <v>566</v>
      </c>
      <c r="D856" s="4" t="s">
        <v>766</v>
      </c>
      <c r="E856" s="4" t="s">
        <v>767</v>
      </c>
      <c r="F856" s="4" t="s">
        <v>768</v>
      </c>
      <c r="G856" s="4" t="s">
        <v>408</v>
      </c>
      <c r="H856" s="5">
        <f>ROUND(49100,0)</f>
        <v>49100</v>
      </c>
      <c r="I856" s="6">
        <f>ROUND(68,2)</f>
        <v>68</v>
      </c>
      <c r="J856" s="6">
        <f>ROUND(0.29707172,2)</f>
        <v>0.3</v>
      </c>
      <c r="K856" s="5">
        <f>ROUND(991863.06,0)</f>
        <v>991863</v>
      </c>
      <c r="L856" s="7">
        <f>ROUND(0.000344714741135835,4)</f>
        <v>2.9999999999999997E-4</v>
      </c>
    </row>
    <row r="857" spans="1:12">
      <c r="A857" s="3" t="s">
        <v>1802</v>
      </c>
      <c r="B857" s="4" t="s">
        <v>1803</v>
      </c>
      <c r="C857" s="4" t="s">
        <v>389</v>
      </c>
      <c r="D857" s="4" t="s">
        <v>407</v>
      </c>
      <c r="E857" s="4" t="s">
        <v>35</v>
      </c>
      <c r="F857" s="4" t="s">
        <v>21</v>
      </c>
      <c r="G857" s="4" t="s">
        <v>408</v>
      </c>
      <c r="H857" s="5">
        <f>ROUND(2503,0)</f>
        <v>2503</v>
      </c>
      <c r="I857" s="6">
        <f>ROUND(43.58,2)</f>
        <v>43.58</v>
      </c>
      <c r="J857" s="6">
        <f>ROUND(9.08595,2)</f>
        <v>9.09</v>
      </c>
      <c r="K857" s="5">
        <f>ROUND(991102.15,0)</f>
        <v>991102</v>
      </c>
      <c r="L857" s="7">
        <f>ROUND(0.000344450292438978,4)</f>
        <v>2.9999999999999997E-4</v>
      </c>
    </row>
    <row r="858" spans="1:12">
      <c r="A858" s="3" t="s">
        <v>1804</v>
      </c>
      <c r="B858" s="4" t="s">
        <v>1805</v>
      </c>
      <c r="C858" s="4" t="s">
        <v>406</v>
      </c>
      <c r="D858" s="4" t="s">
        <v>739</v>
      </c>
      <c r="E858" s="4" t="s">
        <v>740</v>
      </c>
      <c r="F858" s="4" t="s">
        <v>741</v>
      </c>
      <c r="G858" s="4" t="s">
        <v>408</v>
      </c>
      <c r="H858" s="5">
        <f>ROUND(583,0)</f>
        <v>583</v>
      </c>
      <c r="I858" s="6">
        <f>ROUND(223000,2)</f>
        <v>223000</v>
      </c>
      <c r="J858" s="6">
        <f>ROUND(0.00759599,2)</f>
        <v>0.01</v>
      </c>
      <c r="K858" s="5">
        <f>ROUND(987547.06,0)</f>
        <v>987547</v>
      </c>
      <c r="L858" s="7">
        <f>ROUND(0.000343214746950405,4)</f>
        <v>2.9999999999999997E-4</v>
      </c>
    </row>
    <row r="859" spans="1:12">
      <c r="A859" s="3" t="s">
        <v>1806</v>
      </c>
      <c r="B859" s="4" t="s">
        <v>1807</v>
      </c>
      <c r="C859" s="4" t="s">
        <v>534</v>
      </c>
      <c r="D859" s="4" t="s">
        <v>1024</v>
      </c>
      <c r="E859" s="4" t="s">
        <v>1025</v>
      </c>
      <c r="F859" s="4" t="s">
        <v>1026</v>
      </c>
      <c r="G859" s="4" t="s">
        <v>408</v>
      </c>
      <c r="H859" s="5">
        <f>ROUND(6934,0)</f>
        <v>6934</v>
      </c>
      <c r="I859" s="6">
        <f>ROUND(153.35,2)</f>
        <v>153.35</v>
      </c>
      <c r="J859" s="6">
        <f>ROUND(0.92410673,2)</f>
        <v>0.92</v>
      </c>
      <c r="K859" s="5">
        <f>ROUND(982629.39,0)</f>
        <v>982629</v>
      </c>
      <c r="L859" s="7">
        <f>ROUND(0.00034150564676369,4)</f>
        <v>2.9999999999999997E-4</v>
      </c>
    </row>
    <row r="860" spans="1:12">
      <c r="A860" s="3" t="s">
        <v>1808</v>
      </c>
      <c r="B860" s="4" t="s">
        <v>1809</v>
      </c>
      <c r="C860" s="4" t="s">
        <v>534</v>
      </c>
      <c r="D860" s="4" t="s">
        <v>569</v>
      </c>
      <c r="E860" s="4" t="s">
        <v>570</v>
      </c>
      <c r="F860" s="4" t="s">
        <v>19</v>
      </c>
      <c r="G860" s="4" t="s">
        <v>408</v>
      </c>
      <c r="H860" s="5">
        <f>ROUND(1136,0)</f>
        <v>1136</v>
      </c>
      <c r="I860" s="6">
        <f>ROUND(651.8,2)</f>
        <v>651.79999999999995</v>
      </c>
      <c r="J860" s="6">
        <f>ROUND(1.3267035,2)</f>
        <v>1.33</v>
      </c>
      <c r="K860" s="5">
        <f>ROUND(982350.71,0)</f>
        <v>982351</v>
      </c>
      <c r="L860" s="7">
        <f>ROUND(0.000341408793571013,4)</f>
        <v>2.9999999999999997E-4</v>
      </c>
    </row>
    <row r="861" spans="1:12">
      <c r="A861" s="3" t="s">
        <v>1810</v>
      </c>
      <c r="B861" s="4" t="s">
        <v>1811</v>
      </c>
      <c r="C861" s="4" t="s">
        <v>545</v>
      </c>
      <c r="D861" s="4" t="s">
        <v>541</v>
      </c>
      <c r="E861" s="4" t="s">
        <v>542</v>
      </c>
      <c r="F861" s="4" t="s">
        <v>18</v>
      </c>
      <c r="G861" s="4" t="s">
        <v>408</v>
      </c>
      <c r="H861" s="5">
        <f>ROUND(1111,0)</f>
        <v>1111</v>
      </c>
      <c r="I861" s="6">
        <f>ROUND(89.16,2)</f>
        <v>89.16</v>
      </c>
      <c r="J861" s="6">
        <f>ROUND(9.9055,2)</f>
        <v>9.91</v>
      </c>
      <c r="K861" s="5">
        <f>ROUND(981206.74,0)</f>
        <v>981207</v>
      </c>
      <c r="L861" s="7">
        <f>ROUND(0.000341011215177059,4)</f>
        <v>2.9999999999999997E-4</v>
      </c>
    </row>
    <row r="862" spans="1:12">
      <c r="A862" s="3" t="s">
        <v>1812</v>
      </c>
      <c r="B862" s="4" t="s">
        <v>1813</v>
      </c>
      <c r="C862" s="4" t="s">
        <v>400</v>
      </c>
      <c r="D862" s="4" t="s">
        <v>401</v>
      </c>
      <c r="E862" s="4" t="s">
        <v>402</v>
      </c>
      <c r="F862" s="4" t="s">
        <v>403</v>
      </c>
      <c r="G862" s="4" t="s">
        <v>408</v>
      </c>
      <c r="H862" s="5">
        <f>ROUND(75000,0)</f>
        <v>75000</v>
      </c>
      <c r="I862" s="6">
        <f>ROUND(44.55,2)</f>
        <v>44.55</v>
      </c>
      <c r="J862" s="6">
        <f>ROUND(0.29286371,2)</f>
        <v>0.28999999999999998</v>
      </c>
      <c r="K862" s="5">
        <f>ROUND(978530.87,0)</f>
        <v>978531</v>
      </c>
      <c r="L862" s="7">
        <f>ROUND(0.000340081236159227,4)</f>
        <v>2.9999999999999997E-4</v>
      </c>
    </row>
    <row r="863" spans="1:12">
      <c r="A863" s="3" t="s">
        <v>1814</v>
      </c>
      <c r="B863" s="4" t="s">
        <v>1815</v>
      </c>
      <c r="C863" s="4" t="s">
        <v>445</v>
      </c>
      <c r="D863" s="4" t="s">
        <v>407</v>
      </c>
      <c r="E863" s="4" t="s">
        <v>35</v>
      </c>
      <c r="F863" s="4" t="s">
        <v>21</v>
      </c>
      <c r="G863" s="4" t="s">
        <v>408</v>
      </c>
      <c r="H863" s="5">
        <f>ROUND(640,0)</f>
        <v>640</v>
      </c>
      <c r="I863" s="6">
        <f>ROUND(168,2)</f>
        <v>168</v>
      </c>
      <c r="J863" s="6">
        <f>ROUND(9.08595,2)</f>
        <v>9.09</v>
      </c>
      <c r="K863" s="5">
        <f>ROUND(976921.34,0)</f>
        <v>976921</v>
      </c>
      <c r="L863" s="7">
        <f>ROUND(0.000339521855797485,4)</f>
        <v>2.9999999999999997E-4</v>
      </c>
    </row>
    <row r="864" spans="1:12">
      <c r="A864" s="3" t="s">
        <v>1816</v>
      </c>
      <c r="B864" s="4" t="s">
        <v>1817</v>
      </c>
      <c r="C864" s="4" t="s">
        <v>415</v>
      </c>
      <c r="D864" s="4" t="s">
        <v>514</v>
      </c>
      <c r="E864" s="4" t="s">
        <v>515</v>
      </c>
      <c r="F864" s="4" t="s">
        <v>190</v>
      </c>
      <c r="G864" s="4" t="s">
        <v>408</v>
      </c>
      <c r="H864" s="5">
        <f>ROUND(2200,0)</f>
        <v>2200</v>
      </c>
      <c r="I864" s="6">
        <f>ROUND(64.53,2)</f>
        <v>64.53</v>
      </c>
      <c r="J864" s="6">
        <f>ROUND(6.86237833,2)</f>
        <v>6.86</v>
      </c>
      <c r="K864" s="5">
        <f>ROUND(974224.4,0)</f>
        <v>974224</v>
      </c>
      <c r="L864" s="7">
        <f>ROUND(0.00033858455405549,4)</f>
        <v>2.9999999999999997E-4</v>
      </c>
    </row>
    <row r="865" spans="1:12">
      <c r="A865" s="3" t="s">
        <v>1818</v>
      </c>
      <c r="B865" s="4" t="s">
        <v>1819</v>
      </c>
      <c r="C865" s="4" t="s">
        <v>445</v>
      </c>
      <c r="D865" s="4" t="s">
        <v>407</v>
      </c>
      <c r="E865" s="4" t="s">
        <v>35</v>
      </c>
      <c r="F865" s="4" t="s">
        <v>21</v>
      </c>
      <c r="G865" s="4" t="s">
        <v>408</v>
      </c>
      <c r="H865" s="5">
        <f>ROUND(701,0)</f>
        <v>701</v>
      </c>
      <c r="I865" s="6">
        <f>ROUND(152.69,2)</f>
        <v>152.69</v>
      </c>
      <c r="J865" s="6">
        <f>ROUND(9.08595,2)</f>
        <v>9.09</v>
      </c>
      <c r="K865" s="5">
        <f>ROUND(972520.93,0)</f>
        <v>972521</v>
      </c>
      <c r="L865" s="7">
        <f>ROUND(0.000337992525534857,4)</f>
        <v>2.9999999999999997E-4</v>
      </c>
    </row>
    <row r="866" spans="1:12">
      <c r="A866" s="3" t="s">
        <v>1820</v>
      </c>
      <c r="B866" s="4" t="s">
        <v>1821</v>
      </c>
      <c r="C866" s="4" t="s">
        <v>430</v>
      </c>
      <c r="D866" s="4" t="s">
        <v>1822</v>
      </c>
      <c r="E866" s="4" t="s">
        <v>1823</v>
      </c>
      <c r="F866" s="4" t="s">
        <v>1824</v>
      </c>
      <c r="G866" s="4" t="s">
        <v>408</v>
      </c>
      <c r="H866" s="5">
        <f>ROUND(125973,0)</f>
        <v>125973</v>
      </c>
      <c r="I866" s="6">
        <f>ROUND(2950,2)</f>
        <v>2950</v>
      </c>
      <c r="J866" s="6">
        <f>ROUND(0.00261206,2)</f>
        <v>0</v>
      </c>
      <c r="K866" s="5">
        <f>ROUND(970694.65,0)</f>
        <v>970695</v>
      </c>
      <c r="L866" s="7">
        <f>ROUND(0.000337357815298303,4)</f>
        <v>2.9999999999999997E-4</v>
      </c>
    </row>
    <row r="867" spans="1:12">
      <c r="A867" s="3" t="s">
        <v>1825</v>
      </c>
      <c r="B867" s="4" t="s">
        <v>1826</v>
      </c>
      <c r="C867" s="4" t="s">
        <v>445</v>
      </c>
      <c r="D867" s="4" t="s">
        <v>407</v>
      </c>
      <c r="E867" s="4" t="s">
        <v>35</v>
      </c>
      <c r="F867" s="4" t="s">
        <v>21</v>
      </c>
      <c r="G867" s="4" t="s">
        <v>408</v>
      </c>
      <c r="H867" s="5">
        <f>ROUND(1252,0)</f>
        <v>1252</v>
      </c>
      <c r="I867" s="6">
        <f>ROUND(85.17,2)</f>
        <v>85.17</v>
      </c>
      <c r="J867" s="6">
        <f>ROUND(9.08595,2)</f>
        <v>9.09</v>
      </c>
      <c r="K867" s="5">
        <f>ROUND(968860.65,0)</f>
        <v>968861</v>
      </c>
      <c r="L867" s="7">
        <f>ROUND(0.000336720422032298,4)</f>
        <v>2.9999999999999997E-4</v>
      </c>
    </row>
    <row r="868" spans="1:12">
      <c r="A868" s="3" t="s">
        <v>1827</v>
      </c>
      <c r="B868" s="4" t="s">
        <v>1828</v>
      </c>
      <c r="C868" s="4" t="s">
        <v>400</v>
      </c>
      <c r="D868" s="4" t="s">
        <v>1217</v>
      </c>
      <c r="E868" s="4" t="s">
        <v>1218</v>
      </c>
      <c r="F868" s="4" t="s">
        <v>21</v>
      </c>
      <c r="G868" s="4" t="s">
        <v>408</v>
      </c>
      <c r="H868" s="5">
        <f>ROUND(400,0)</f>
        <v>400</v>
      </c>
      <c r="I868" s="6">
        <f>ROUND(266.09,2)</f>
        <v>266.08999999999997</v>
      </c>
      <c r="J868" s="6">
        <f>ROUND(9.08595,2)</f>
        <v>9.09</v>
      </c>
      <c r="K868" s="5">
        <f>ROUND(967072.17,0)</f>
        <v>967072</v>
      </c>
      <c r="L868" s="7">
        <f>ROUND(0.00033609884890886,4)</f>
        <v>2.9999999999999997E-4</v>
      </c>
    </row>
    <row r="869" spans="1:12">
      <c r="A869" s="3" t="s">
        <v>1829</v>
      </c>
      <c r="B869" s="4" t="s">
        <v>1830</v>
      </c>
      <c r="C869" s="4" t="s">
        <v>389</v>
      </c>
      <c r="D869" s="4" t="s">
        <v>407</v>
      </c>
      <c r="E869" s="4" t="s">
        <v>35</v>
      </c>
      <c r="F869" s="4" t="s">
        <v>21</v>
      </c>
      <c r="G869" s="4" t="s">
        <v>408</v>
      </c>
      <c r="H869" s="5">
        <f>ROUND(900,0)</f>
        <v>900</v>
      </c>
      <c r="I869" s="6">
        <f>ROUND(118.22,2)</f>
        <v>118.22</v>
      </c>
      <c r="J869" s="6">
        <f>ROUND(9.08595,2)</f>
        <v>9.09</v>
      </c>
      <c r="K869" s="5">
        <f>ROUND(966726.91,0)</f>
        <v>966727</v>
      </c>
      <c r="L869" s="7">
        <f>ROUND(0.00033597885632488,4)</f>
        <v>2.9999999999999997E-4</v>
      </c>
    </row>
    <row r="870" spans="1:12">
      <c r="A870" s="3" t="s">
        <v>1831</v>
      </c>
      <c r="B870" s="4" t="s">
        <v>1832</v>
      </c>
      <c r="C870" s="4" t="s">
        <v>422</v>
      </c>
      <c r="D870" s="4" t="s">
        <v>514</v>
      </c>
      <c r="E870" s="4" t="s">
        <v>515</v>
      </c>
      <c r="F870" s="4" t="s">
        <v>190</v>
      </c>
      <c r="G870" s="4" t="s">
        <v>408</v>
      </c>
      <c r="H870" s="5">
        <f>ROUND(2400,0)</f>
        <v>2400</v>
      </c>
      <c r="I870" s="6">
        <f>ROUND(58.33,2)</f>
        <v>58.33</v>
      </c>
      <c r="J870" s="6">
        <f>ROUND(6.86237833,2)</f>
        <v>6.86</v>
      </c>
      <c r="K870" s="5">
        <f>ROUND(960678.07,0)</f>
        <v>960678</v>
      </c>
      <c r="L870" s="7">
        <f>ROUND(0.000333876626290451,4)</f>
        <v>2.9999999999999997E-4</v>
      </c>
    </row>
    <row r="871" spans="1:12">
      <c r="A871" s="3" t="s">
        <v>1833</v>
      </c>
      <c r="B871" s="4" t="s">
        <v>1834</v>
      </c>
      <c r="C871" s="4" t="s">
        <v>406</v>
      </c>
      <c r="D871" s="4" t="s">
        <v>489</v>
      </c>
      <c r="E871" s="4" t="s">
        <v>490</v>
      </c>
      <c r="F871" s="4" t="s">
        <v>45</v>
      </c>
      <c r="G871" s="4" t="s">
        <v>408</v>
      </c>
      <c r="H871" s="5">
        <f>ROUND(1700,0)</f>
        <v>1700</v>
      </c>
      <c r="I871" s="6">
        <f>ROUND(6705,2)</f>
        <v>6705</v>
      </c>
      <c r="J871" s="6">
        <f>ROUND(8.407077,2)</f>
        <v>8.41</v>
      </c>
      <c r="K871" s="5">
        <f>ROUND(958280.67,0)</f>
        <v>958281</v>
      </c>
      <c r="L871" s="7">
        <f>ROUND(0.000333043427481334,4)</f>
        <v>2.9999999999999997E-4</v>
      </c>
    </row>
    <row r="872" spans="1:12">
      <c r="A872" s="3" t="s">
        <v>1835</v>
      </c>
      <c r="B872" s="4" t="s">
        <v>1836</v>
      </c>
      <c r="C872" s="4" t="s">
        <v>445</v>
      </c>
      <c r="D872" s="4" t="s">
        <v>489</v>
      </c>
      <c r="E872" s="4" t="s">
        <v>490</v>
      </c>
      <c r="F872" s="4" t="s">
        <v>45</v>
      </c>
      <c r="G872" s="4" t="s">
        <v>408</v>
      </c>
      <c r="H872" s="5">
        <f>ROUND(1900,0)</f>
        <v>1900</v>
      </c>
      <c r="I872" s="6">
        <f>ROUND(5999,2)</f>
        <v>5999</v>
      </c>
      <c r="J872" s="6">
        <f>ROUND(8.407077,2)</f>
        <v>8.41</v>
      </c>
      <c r="K872" s="5">
        <f>ROUND(958247.04,0)</f>
        <v>958247</v>
      </c>
      <c r="L872" s="7">
        <f>ROUND(0.000333031739621173,4)</f>
        <v>2.9999999999999997E-4</v>
      </c>
    </row>
    <row r="873" spans="1:12">
      <c r="A873" s="3" t="s">
        <v>1837</v>
      </c>
      <c r="B873" s="4" t="s">
        <v>1838</v>
      </c>
      <c r="C873" s="4" t="s">
        <v>400</v>
      </c>
      <c r="D873" s="4" t="s">
        <v>407</v>
      </c>
      <c r="E873" s="4" t="s">
        <v>35</v>
      </c>
      <c r="F873" s="4" t="s">
        <v>21</v>
      </c>
      <c r="G873" s="4" t="s">
        <v>408</v>
      </c>
      <c r="H873" s="5">
        <f>ROUND(483,0)</f>
        <v>483</v>
      </c>
      <c r="I873" s="6">
        <f>ROUND(217.75,2)</f>
        <v>217.75</v>
      </c>
      <c r="J873" s="6">
        <f>ROUND(9.08595,2)</f>
        <v>9.09</v>
      </c>
      <c r="K873" s="5">
        <f>ROUND(955598.89,0)</f>
        <v>955599</v>
      </c>
      <c r="L873" s="7">
        <f>ROUND(0.000332111394486292,4)</f>
        <v>2.9999999999999997E-4</v>
      </c>
    </row>
    <row r="874" spans="1:12">
      <c r="A874" s="3" t="s">
        <v>1839</v>
      </c>
      <c r="B874" s="4" t="s">
        <v>1840</v>
      </c>
      <c r="C874" s="4" t="s">
        <v>406</v>
      </c>
      <c r="D874" s="4" t="s">
        <v>401</v>
      </c>
      <c r="E874" s="4" t="s">
        <v>402</v>
      </c>
      <c r="F874" s="4" t="s">
        <v>403</v>
      </c>
      <c r="G874" s="4" t="s">
        <v>408</v>
      </c>
      <c r="H874" s="5">
        <f>ROUND(46000,0)</f>
        <v>46000</v>
      </c>
      <c r="I874" s="6">
        <f>ROUND(70.8,2)</f>
        <v>70.8</v>
      </c>
      <c r="J874" s="6">
        <f>ROUND(0.29286371,2)</f>
        <v>0.28999999999999998</v>
      </c>
      <c r="K874" s="5">
        <f>ROUND(953798.53,0)</f>
        <v>953799</v>
      </c>
      <c r="L874" s="7">
        <f>ROUND(0.000331485692555875,4)</f>
        <v>2.9999999999999997E-4</v>
      </c>
    </row>
    <row r="875" spans="1:12">
      <c r="A875" s="3" t="s">
        <v>1841</v>
      </c>
      <c r="B875" s="4" t="s">
        <v>1842</v>
      </c>
      <c r="C875" s="4" t="s">
        <v>430</v>
      </c>
      <c r="D875" s="4" t="s">
        <v>407</v>
      </c>
      <c r="E875" s="4" t="s">
        <v>35</v>
      </c>
      <c r="F875" s="4" t="s">
        <v>21</v>
      </c>
      <c r="G875" s="4" t="s">
        <v>408</v>
      </c>
      <c r="H875" s="5">
        <f>ROUND(1539,0)</f>
        <v>1539</v>
      </c>
      <c r="I875" s="6">
        <f>ROUND(67.9,2)</f>
        <v>67.900000000000006</v>
      </c>
      <c r="J875" s="6">
        <f>ROUND(9.08595,2)</f>
        <v>9.09</v>
      </c>
      <c r="K875" s="5">
        <f>ROUND(949464.51,0)</f>
        <v>949465</v>
      </c>
      <c r="L875" s="7">
        <f>ROUND(0.000329979435651442,4)</f>
        <v>2.9999999999999997E-4</v>
      </c>
    </row>
    <row r="876" spans="1:12">
      <c r="A876" s="3" t="s">
        <v>1843</v>
      </c>
      <c r="B876" s="4" t="s">
        <v>1844</v>
      </c>
      <c r="C876" s="4" t="s">
        <v>430</v>
      </c>
      <c r="D876" s="4" t="s">
        <v>407</v>
      </c>
      <c r="E876" s="4" t="s">
        <v>35</v>
      </c>
      <c r="F876" s="4" t="s">
        <v>21</v>
      </c>
      <c r="G876" s="4" t="s">
        <v>408</v>
      </c>
      <c r="H876" s="5">
        <f>ROUND(5534,0)</f>
        <v>5534</v>
      </c>
      <c r="I876" s="6">
        <f>ROUND(18.85,2)</f>
        <v>18.850000000000001</v>
      </c>
      <c r="J876" s="6">
        <f>ROUND(9.08595,2)</f>
        <v>9.09</v>
      </c>
      <c r="K876" s="5">
        <f>ROUND(947809.05,0)</f>
        <v>947809</v>
      </c>
      <c r="L876" s="7">
        <f>ROUND(0.000329404092654637,4)</f>
        <v>2.9999999999999997E-4</v>
      </c>
    </row>
    <row r="877" spans="1:12">
      <c r="A877" s="3" t="s">
        <v>1845</v>
      </c>
      <c r="B877" s="4" t="s">
        <v>1846</v>
      </c>
      <c r="C877" s="4" t="s">
        <v>389</v>
      </c>
      <c r="D877" s="4" t="s">
        <v>489</v>
      </c>
      <c r="E877" s="4" t="s">
        <v>490</v>
      </c>
      <c r="F877" s="4" t="s">
        <v>45</v>
      </c>
      <c r="G877" s="4" t="s">
        <v>408</v>
      </c>
      <c r="H877" s="5">
        <f>ROUND(3700,0)</f>
        <v>3700</v>
      </c>
      <c r="I877" s="6">
        <f>ROUND(3040,2)</f>
        <v>3040</v>
      </c>
      <c r="J877" s="6">
        <f>ROUND(8.407077,2)</f>
        <v>8.41</v>
      </c>
      <c r="K877" s="5">
        <f>ROUND(945628.02,0)</f>
        <v>945628</v>
      </c>
      <c r="L877" s="7">
        <f>ROUND(0.000328646091654116,4)</f>
        <v>2.9999999999999997E-4</v>
      </c>
    </row>
    <row r="878" spans="1:12">
      <c r="A878" s="3" t="s">
        <v>1847</v>
      </c>
      <c r="B878" s="4" t="s">
        <v>1848</v>
      </c>
      <c r="C878" s="4" t="s">
        <v>400</v>
      </c>
      <c r="D878" s="4" t="s">
        <v>407</v>
      </c>
      <c r="E878" s="4" t="s">
        <v>35</v>
      </c>
      <c r="F878" s="4" t="s">
        <v>21</v>
      </c>
      <c r="G878" s="4" t="s">
        <v>408</v>
      </c>
      <c r="H878" s="5">
        <f>ROUND(3800,0)</f>
        <v>3800</v>
      </c>
      <c r="I878" s="6">
        <f>ROUND(27.38,2)</f>
        <v>27.38</v>
      </c>
      <c r="J878" s="6">
        <f>ROUND(9.08595,2)</f>
        <v>9.09</v>
      </c>
      <c r="K878" s="5">
        <f>ROUND(945338.58,0)</f>
        <v>945339</v>
      </c>
      <c r="L878" s="7">
        <f>ROUND(0.000328545498902255,4)</f>
        <v>2.9999999999999997E-4</v>
      </c>
    </row>
    <row r="879" spans="1:12">
      <c r="A879" s="3" t="s">
        <v>1849</v>
      </c>
      <c r="B879" s="4" t="s">
        <v>1850</v>
      </c>
      <c r="C879" s="4" t="s">
        <v>400</v>
      </c>
      <c r="D879" s="4" t="s">
        <v>395</v>
      </c>
      <c r="E879" s="4" t="s">
        <v>396</v>
      </c>
      <c r="F879" s="4" t="s">
        <v>397</v>
      </c>
      <c r="G879" s="4" t="s">
        <v>408</v>
      </c>
      <c r="H879" s="5">
        <f>ROUND(32814,0)</f>
        <v>32814</v>
      </c>
      <c r="I879" s="6">
        <f>ROUND(13.18,2)</f>
        <v>13.18</v>
      </c>
      <c r="J879" s="6">
        <f>ROUND(2.18129969,2)</f>
        <v>2.1800000000000002</v>
      </c>
      <c r="K879" s="5">
        <f>ROUND(943387.07,0)</f>
        <v>943387</v>
      </c>
      <c r="L879" s="7">
        <f>ROUND(0.000327867265896507,4)</f>
        <v>2.9999999999999997E-4</v>
      </c>
    </row>
    <row r="880" spans="1:12">
      <c r="A880" s="3" t="s">
        <v>1851</v>
      </c>
      <c r="B880" s="4" t="s">
        <v>1852</v>
      </c>
      <c r="C880" s="4" t="s">
        <v>534</v>
      </c>
      <c r="D880" s="4" t="s">
        <v>1652</v>
      </c>
      <c r="E880" s="4" t="s">
        <v>1653</v>
      </c>
      <c r="F880" s="4" t="s">
        <v>22</v>
      </c>
      <c r="G880" s="4" t="s">
        <v>408</v>
      </c>
      <c r="H880" s="5">
        <f>ROUND(6070,0)</f>
        <v>6070</v>
      </c>
      <c r="I880" s="6">
        <f>ROUND(884.5,2)</f>
        <v>884.5</v>
      </c>
      <c r="J880" s="6">
        <f>ROUND(0.17530276,2)</f>
        <v>0.18</v>
      </c>
      <c r="K880" s="5">
        <f>ROUND(941185.62,0)</f>
        <v>941186</v>
      </c>
      <c r="L880" s="7">
        <f>ROUND(0.000327102168074563,4)</f>
        <v>2.9999999999999997E-4</v>
      </c>
    </row>
    <row r="881" spans="1:12">
      <c r="A881" s="3" t="s">
        <v>1853</v>
      </c>
      <c r="B881" s="4" t="s">
        <v>1854</v>
      </c>
      <c r="C881" s="4" t="s">
        <v>406</v>
      </c>
      <c r="D881" s="4" t="s">
        <v>496</v>
      </c>
      <c r="E881" s="4" t="s">
        <v>497</v>
      </c>
      <c r="F881" s="4" t="s">
        <v>21</v>
      </c>
      <c r="G881" s="4" t="s">
        <v>408</v>
      </c>
      <c r="H881" s="5">
        <f>ROUND(1924,0)</f>
        <v>1924</v>
      </c>
      <c r="I881" s="6">
        <f>ROUND(53.79,2)</f>
        <v>53.79</v>
      </c>
      <c r="J881" s="6">
        <f>ROUND(9.08595,2)</f>
        <v>9.09</v>
      </c>
      <c r="K881" s="5">
        <f>ROUND(940322.77,0)</f>
        <v>940323</v>
      </c>
      <c r="L881" s="7">
        <f>ROUND(0.000326802290877413,4)</f>
        <v>2.9999999999999997E-4</v>
      </c>
    </row>
    <row r="882" spans="1:12">
      <c r="A882" s="3" t="s">
        <v>1855</v>
      </c>
      <c r="B882" s="4" t="s">
        <v>1856</v>
      </c>
      <c r="C882" s="4" t="s">
        <v>534</v>
      </c>
      <c r="D882" s="4" t="s">
        <v>1857</v>
      </c>
      <c r="E882" s="4" t="s">
        <v>1858</v>
      </c>
      <c r="F882" s="4" t="s">
        <v>1859</v>
      </c>
      <c r="G882" s="4" t="s">
        <v>408</v>
      </c>
      <c r="H882" s="5">
        <f>ROUND(18023,0)</f>
        <v>18023</v>
      </c>
      <c r="I882" s="6">
        <f>ROUND(9.15,2)</f>
        <v>9.15</v>
      </c>
      <c r="J882" s="6">
        <f>ROUND(5.69723636,2)</f>
        <v>5.7</v>
      </c>
      <c r="K882" s="5">
        <f>ROUND(939533.81,0)</f>
        <v>939534</v>
      </c>
      <c r="L882" s="7">
        <f>ROUND(0.000326528093608521,4)</f>
        <v>2.9999999999999997E-4</v>
      </c>
    </row>
    <row r="883" spans="1:12">
      <c r="A883" s="3" t="s">
        <v>1860</v>
      </c>
      <c r="B883" s="4" t="s">
        <v>1861</v>
      </c>
      <c r="C883" s="4" t="s">
        <v>534</v>
      </c>
      <c r="D883" s="4" t="s">
        <v>486</v>
      </c>
      <c r="E883" s="4" t="s">
        <v>30</v>
      </c>
      <c r="F883" s="4" t="s">
        <v>20</v>
      </c>
      <c r="G883" s="4" t="s">
        <v>408</v>
      </c>
      <c r="H883" s="5">
        <f>ROUND(1068,0)</f>
        <v>1068</v>
      </c>
      <c r="I883" s="6">
        <f>ROUND(7845,2)</f>
        <v>7845</v>
      </c>
      <c r="J883" s="6">
        <f>ROUND(11.19645077,2)</f>
        <v>11.2</v>
      </c>
      <c r="K883" s="5">
        <f>ROUND(938090.15,0)</f>
        <v>938090</v>
      </c>
      <c r="L883" s="7">
        <f>ROUND(0.000326026360150288,4)</f>
        <v>2.9999999999999997E-4</v>
      </c>
    </row>
    <row r="884" spans="1:12">
      <c r="A884" s="3" t="s">
        <v>1862</v>
      </c>
      <c r="B884" s="4" t="s">
        <v>1863</v>
      </c>
      <c r="C884" s="4" t="s">
        <v>400</v>
      </c>
      <c r="D884" s="4" t="s">
        <v>395</v>
      </c>
      <c r="E884" s="4" t="s">
        <v>396</v>
      </c>
      <c r="F884" s="4" t="s">
        <v>397</v>
      </c>
      <c r="G884" s="4" t="s">
        <v>408</v>
      </c>
      <c r="H884" s="5">
        <f>ROUND(12241,0)</f>
        <v>12241</v>
      </c>
      <c r="I884" s="6">
        <f>ROUND(35.03,2)</f>
        <v>35.03</v>
      </c>
      <c r="J884" s="6">
        <f>ROUND(2.18129969,2)</f>
        <v>2.1800000000000002</v>
      </c>
      <c r="K884" s="5">
        <f>ROUND(935346.17,0)</f>
        <v>935346</v>
      </c>
      <c r="L884" s="7">
        <f>ROUND(0.000325072710000859,4)</f>
        <v>2.9999999999999997E-4</v>
      </c>
    </row>
    <row r="885" spans="1:12">
      <c r="A885" s="3" t="s">
        <v>1864</v>
      </c>
      <c r="B885" s="4" t="s">
        <v>1865</v>
      </c>
      <c r="C885" s="4" t="s">
        <v>534</v>
      </c>
      <c r="D885" s="4" t="s">
        <v>723</v>
      </c>
      <c r="E885" s="4" t="s">
        <v>724</v>
      </c>
      <c r="F885" s="4" t="s">
        <v>18</v>
      </c>
      <c r="G885" s="4" t="s">
        <v>408</v>
      </c>
      <c r="H885" s="5">
        <f>ROUND(562,0)</f>
        <v>562</v>
      </c>
      <c r="I885" s="6">
        <f>ROUND(168,2)</f>
        <v>168</v>
      </c>
      <c r="J885" s="6">
        <f>ROUND(9.9055,2)</f>
        <v>9.91</v>
      </c>
      <c r="K885" s="5">
        <f>ROUND(935237.69,0)</f>
        <v>935238</v>
      </c>
      <c r="L885" s="7">
        <f>ROUND(0.000325035008571472,4)</f>
        <v>2.9999999999999997E-4</v>
      </c>
    </row>
    <row r="886" spans="1:12">
      <c r="A886" s="3" t="s">
        <v>1866</v>
      </c>
      <c r="B886" s="4" t="s">
        <v>1867</v>
      </c>
      <c r="C886" s="4" t="s">
        <v>534</v>
      </c>
      <c r="D886" s="4" t="s">
        <v>407</v>
      </c>
      <c r="E886" s="4" t="s">
        <v>35</v>
      </c>
      <c r="F886" s="4" t="s">
        <v>21</v>
      </c>
      <c r="G886" s="4" t="s">
        <v>408</v>
      </c>
      <c r="H886" s="5">
        <f>ROUND(173,0)</f>
        <v>173</v>
      </c>
      <c r="I886" s="6">
        <f>ROUND(593.2,2)</f>
        <v>593.20000000000005</v>
      </c>
      <c r="J886" s="6">
        <f>ROUND(9.08595,2)</f>
        <v>9.09</v>
      </c>
      <c r="K886" s="5">
        <f>ROUND(932432.9,0)</f>
        <v>932433</v>
      </c>
      <c r="L886" s="7">
        <f>ROUND(0.000324060224351974,4)</f>
        <v>2.9999999999999997E-4</v>
      </c>
    </row>
    <row r="887" spans="1:12">
      <c r="A887" s="3" t="s">
        <v>1868</v>
      </c>
      <c r="B887" s="4" t="s">
        <v>1869</v>
      </c>
      <c r="C887" s="4" t="s">
        <v>493</v>
      </c>
      <c r="D887" s="4" t="s">
        <v>395</v>
      </c>
      <c r="E887" s="4" t="s">
        <v>396</v>
      </c>
      <c r="F887" s="4" t="s">
        <v>397</v>
      </c>
      <c r="G887" s="4" t="s">
        <v>408</v>
      </c>
      <c r="H887" s="5">
        <f>ROUND(29789,0)</f>
        <v>29789</v>
      </c>
      <c r="I887" s="6">
        <f>ROUND(14.33,2)</f>
        <v>14.33</v>
      </c>
      <c r="J887" s="6">
        <f>ROUND(2.18129969,2)</f>
        <v>2.1800000000000002</v>
      </c>
      <c r="K887" s="5">
        <f>ROUND(931145.29,0)</f>
        <v>931145</v>
      </c>
      <c r="L887" s="7">
        <f>ROUND(0.000323612724928179,4)</f>
        <v>2.9999999999999997E-4</v>
      </c>
    </row>
    <row r="888" spans="1:12">
      <c r="A888" s="3" t="s">
        <v>1870</v>
      </c>
      <c r="B888" s="4" t="s">
        <v>1871</v>
      </c>
      <c r="C888" s="4" t="s">
        <v>406</v>
      </c>
      <c r="D888" s="4" t="s">
        <v>407</v>
      </c>
      <c r="E888" s="4" t="s">
        <v>35</v>
      </c>
      <c r="F888" s="4" t="s">
        <v>21</v>
      </c>
      <c r="G888" s="4" t="s">
        <v>408</v>
      </c>
      <c r="H888" s="5">
        <f>ROUND(1100,0)</f>
        <v>1100</v>
      </c>
      <c r="I888" s="6">
        <f>ROUND(92.91,2)</f>
        <v>92.91</v>
      </c>
      <c r="J888" s="6">
        <f>ROUND(9.08595,2)</f>
        <v>9.09</v>
      </c>
      <c r="K888" s="5">
        <f>ROUND(928593.18,0)</f>
        <v>928593</v>
      </c>
      <c r="L888" s="7">
        <f>ROUND(0.000322725757791808,4)</f>
        <v>2.9999999999999997E-4</v>
      </c>
    </row>
    <row r="889" spans="1:12">
      <c r="A889" s="3" t="s">
        <v>1872</v>
      </c>
      <c r="B889" s="4" t="s">
        <v>1873</v>
      </c>
      <c r="C889" s="4" t="s">
        <v>445</v>
      </c>
      <c r="D889" s="4" t="s">
        <v>407</v>
      </c>
      <c r="E889" s="4" t="s">
        <v>35</v>
      </c>
      <c r="F889" s="4" t="s">
        <v>21</v>
      </c>
      <c r="G889" s="4" t="s">
        <v>408</v>
      </c>
      <c r="H889" s="5">
        <f>ROUND(300,0)</f>
        <v>300</v>
      </c>
      <c r="I889" s="6">
        <f>ROUND(339.75,2)</f>
        <v>339.75</v>
      </c>
      <c r="J889" s="6">
        <f>ROUND(9.08595,2)</f>
        <v>9.09</v>
      </c>
      <c r="K889" s="5">
        <f>ROUND(926085.45,0)</f>
        <v>926085</v>
      </c>
      <c r="L889" s="7">
        <f>ROUND(0.000321854214599355,4)</f>
        <v>2.9999999999999997E-4</v>
      </c>
    </row>
    <row r="890" spans="1:12">
      <c r="A890" s="3" t="s">
        <v>1874</v>
      </c>
      <c r="B890" s="4" t="s">
        <v>1875</v>
      </c>
      <c r="C890" s="4" t="s">
        <v>389</v>
      </c>
      <c r="D890" s="4" t="s">
        <v>520</v>
      </c>
      <c r="E890" s="4" t="s">
        <v>521</v>
      </c>
      <c r="F890" s="4" t="s">
        <v>18</v>
      </c>
      <c r="G890" s="4" t="s">
        <v>408</v>
      </c>
      <c r="H890" s="5">
        <f>ROUND(1769,0)</f>
        <v>1769</v>
      </c>
      <c r="I890" s="6">
        <f>ROUND(52.66,2)</f>
        <v>52.66</v>
      </c>
      <c r="J890" s="6">
        <f>ROUND(9.9055,2)</f>
        <v>9.91</v>
      </c>
      <c r="K890" s="5">
        <f>ROUND(922752.2,0)</f>
        <v>922752</v>
      </c>
      <c r="L890" s="7">
        <f>ROUND(0.000320695767977811,4)</f>
        <v>2.9999999999999997E-4</v>
      </c>
    </row>
    <row r="891" spans="1:12">
      <c r="A891" s="3" t="s">
        <v>1876</v>
      </c>
      <c r="B891" s="4" t="s">
        <v>1877</v>
      </c>
      <c r="C891" s="4" t="s">
        <v>534</v>
      </c>
      <c r="D891" s="4" t="s">
        <v>486</v>
      </c>
      <c r="E891" s="4" t="s">
        <v>30</v>
      </c>
      <c r="F891" s="4" t="s">
        <v>20</v>
      </c>
      <c r="G891" s="4" t="s">
        <v>408</v>
      </c>
      <c r="H891" s="5">
        <f>ROUND(12958,0)</f>
        <v>12958</v>
      </c>
      <c r="I891" s="6">
        <f>ROUND(635,2)</f>
        <v>635</v>
      </c>
      <c r="J891" s="6">
        <f>ROUND(11.19645077,2)</f>
        <v>11.2</v>
      </c>
      <c r="K891" s="5">
        <f>ROUND(921280.92,0)</f>
        <v>921281</v>
      </c>
      <c r="L891" s="7">
        <f>ROUND(0.000320184435390893,4)</f>
        <v>2.9999999999999997E-4</v>
      </c>
    </row>
    <row r="892" spans="1:12">
      <c r="A892" s="3" t="s">
        <v>1878</v>
      </c>
      <c r="B892" s="4" t="s">
        <v>1879</v>
      </c>
      <c r="C892" s="4" t="s">
        <v>406</v>
      </c>
      <c r="D892" s="4" t="s">
        <v>407</v>
      </c>
      <c r="E892" s="4" t="s">
        <v>35</v>
      </c>
      <c r="F892" s="4" t="s">
        <v>21</v>
      </c>
      <c r="G892" s="4" t="s">
        <v>408</v>
      </c>
      <c r="H892" s="5">
        <f>ROUND(1700,0)</f>
        <v>1700</v>
      </c>
      <c r="I892" s="6">
        <f>ROUND(59.64,2)</f>
        <v>59.64</v>
      </c>
      <c r="J892" s="6">
        <f>ROUND(9.08595,2)</f>
        <v>9.09</v>
      </c>
      <c r="K892" s="5">
        <f>ROUND(921206.3,0)</f>
        <v>921206</v>
      </c>
      <c r="L892" s="7">
        <f>ROUND(0.000320158501756482,4)</f>
        <v>2.9999999999999997E-4</v>
      </c>
    </row>
    <row r="893" spans="1:12">
      <c r="A893" s="3" t="s">
        <v>1880</v>
      </c>
      <c r="B893" s="4" t="s">
        <v>1881</v>
      </c>
      <c r="C893" s="4" t="s">
        <v>566</v>
      </c>
      <c r="D893" s="4" t="s">
        <v>390</v>
      </c>
      <c r="E893" s="4" t="s">
        <v>391</v>
      </c>
      <c r="F893" s="4" t="s">
        <v>72</v>
      </c>
      <c r="G893" s="4" t="s">
        <v>408</v>
      </c>
      <c r="H893" s="5">
        <f>ROUND(10600,0)</f>
        <v>10600</v>
      </c>
      <c r="I893" s="6">
        <f>ROUND(14.18,2)</f>
        <v>14.18</v>
      </c>
      <c r="J893" s="6">
        <f>ROUND(6.12812423,2)</f>
        <v>6.13</v>
      </c>
      <c r="K893" s="5">
        <f>ROUND(921106.1,0)</f>
        <v>921106</v>
      </c>
      <c r="L893" s="7">
        <f>ROUND(0.000320123677980444,4)</f>
        <v>2.9999999999999997E-4</v>
      </c>
    </row>
    <row r="894" spans="1:12">
      <c r="A894" s="3" t="s">
        <v>1882</v>
      </c>
      <c r="B894" s="4" t="s">
        <v>1883</v>
      </c>
      <c r="C894" s="4" t="s">
        <v>430</v>
      </c>
      <c r="D894" s="4" t="s">
        <v>401</v>
      </c>
      <c r="E894" s="4" t="s">
        <v>402</v>
      </c>
      <c r="F894" s="4" t="s">
        <v>403</v>
      </c>
      <c r="G894" s="4" t="s">
        <v>408</v>
      </c>
      <c r="H894" s="5">
        <f>ROUND(32000,0)</f>
        <v>32000</v>
      </c>
      <c r="I894" s="6">
        <f>ROUND(98.2,2)</f>
        <v>98.2</v>
      </c>
      <c r="J894" s="6">
        <f>ROUND(0.29286371,2)</f>
        <v>0.28999999999999998</v>
      </c>
      <c r="K894" s="5">
        <f>ROUND(920294.92,0)</f>
        <v>920295</v>
      </c>
      <c r="L894" s="7">
        <f>ROUND(0.000319841758313314,4)</f>
        <v>2.9999999999999997E-4</v>
      </c>
    </row>
    <row r="895" spans="1:12">
      <c r="A895" s="3" t="s">
        <v>1884</v>
      </c>
      <c r="B895" s="4" t="s">
        <v>1885</v>
      </c>
      <c r="C895" s="4" t="s">
        <v>422</v>
      </c>
      <c r="D895" s="4" t="s">
        <v>489</v>
      </c>
      <c r="E895" s="4" t="s">
        <v>490</v>
      </c>
      <c r="F895" s="4" t="s">
        <v>45</v>
      </c>
      <c r="G895" s="4" t="s">
        <v>408</v>
      </c>
      <c r="H895" s="5">
        <f>ROUND(3200,0)</f>
        <v>3200</v>
      </c>
      <c r="I895" s="6">
        <f>ROUND(3420,2)</f>
        <v>3420</v>
      </c>
      <c r="J895" s="6">
        <f>ROUND(8.407077,2)</f>
        <v>8.41</v>
      </c>
      <c r="K895" s="5">
        <f>ROUND(920070.51,0)</f>
        <v>920071</v>
      </c>
      <c r="L895" s="7">
        <f>ROUND(0.00031976376626161,4)</f>
        <v>2.9999999999999997E-4</v>
      </c>
    </row>
    <row r="896" spans="1:12">
      <c r="A896" s="3" t="s">
        <v>1886</v>
      </c>
      <c r="B896" s="4" t="s">
        <v>1887</v>
      </c>
      <c r="C896" s="4" t="s">
        <v>400</v>
      </c>
      <c r="D896" s="4" t="s">
        <v>395</v>
      </c>
      <c r="E896" s="4" t="s">
        <v>396</v>
      </c>
      <c r="F896" s="4" t="s">
        <v>397</v>
      </c>
      <c r="G896" s="4" t="s">
        <v>408</v>
      </c>
      <c r="H896" s="5">
        <f>ROUND(13497,0)</f>
        <v>13497</v>
      </c>
      <c r="I896" s="6">
        <f>ROUND(31.25,2)</f>
        <v>31.25</v>
      </c>
      <c r="J896" s="6">
        <f>ROUND(2.18129969,2)</f>
        <v>2.1800000000000002</v>
      </c>
      <c r="K896" s="5">
        <f>ROUND(920031.31,0)</f>
        <v>920031</v>
      </c>
      <c r="L896" s="7">
        <f>ROUND(0.000319750142588749,4)</f>
        <v>2.9999999999999997E-4</v>
      </c>
    </row>
    <row r="897" spans="1:12">
      <c r="A897" s="3" t="s">
        <v>1888</v>
      </c>
      <c r="B897" s="4" t="s">
        <v>1889</v>
      </c>
      <c r="C897" s="4" t="s">
        <v>545</v>
      </c>
      <c r="D897" s="4" t="s">
        <v>401</v>
      </c>
      <c r="E897" s="4" t="s">
        <v>402</v>
      </c>
      <c r="F897" s="4" t="s">
        <v>403</v>
      </c>
      <c r="G897" s="4" t="s">
        <v>408</v>
      </c>
      <c r="H897" s="5">
        <f>ROUND(45000,0)</f>
        <v>45000</v>
      </c>
      <c r="I897" s="6">
        <f>ROUND(69.7,2)</f>
        <v>69.7</v>
      </c>
      <c r="J897" s="6">
        <f>ROUND(0.29286371,2)</f>
        <v>0.28999999999999998</v>
      </c>
      <c r="K897" s="5">
        <f>ROUND(918567.03,0)</f>
        <v>918567</v>
      </c>
      <c r="L897" s="7">
        <f>ROUND(0.000319241242800556,4)</f>
        <v>2.9999999999999997E-4</v>
      </c>
    </row>
    <row r="898" spans="1:12">
      <c r="A898" s="3" t="s">
        <v>1890</v>
      </c>
      <c r="B898" s="4" t="s">
        <v>1891</v>
      </c>
      <c r="C898" s="4" t="s">
        <v>445</v>
      </c>
      <c r="D898" s="4" t="s">
        <v>489</v>
      </c>
      <c r="E898" s="4" t="s">
        <v>490</v>
      </c>
      <c r="F898" s="4" t="s">
        <v>45</v>
      </c>
      <c r="G898" s="4" t="s">
        <v>408</v>
      </c>
      <c r="H898" s="5">
        <f>ROUND(1300,0)</f>
        <v>1300</v>
      </c>
      <c r="I898" s="6">
        <f>ROUND(8400,2)</f>
        <v>8400</v>
      </c>
      <c r="J898" s="6">
        <f>ROUND(8.407077,2)</f>
        <v>8.41</v>
      </c>
      <c r="K898" s="5">
        <f>ROUND(918052.81,0)</f>
        <v>918053</v>
      </c>
      <c r="L898" s="7">
        <f>ROUND(0.000319062529406202,4)</f>
        <v>2.9999999999999997E-4</v>
      </c>
    </row>
    <row r="899" spans="1:12">
      <c r="A899" s="3" t="s">
        <v>1892</v>
      </c>
      <c r="B899" s="4" t="s">
        <v>1893</v>
      </c>
      <c r="C899" s="4" t="s">
        <v>534</v>
      </c>
      <c r="D899" s="4" t="s">
        <v>423</v>
      </c>
      <c r="E899" s="4" t="s">
        <v>25</v>
      </c>
      <c r="F899" s="4" t="s">
        <v>16</v>
      </c>
      <c r="G899" s="4" t="s">
        <v>408</v>
      </c>
      <c r="H899" s="5">
        <f>ROUND(685,0)</f>
        <v>685</v>
      </c>
      <c r="I899" s="6">
        <f>ROUND(147,2)</f>
        <v>147</v>
      </c>
      <c r="J899" s="6">
        <f>ROUND(9.11185723,2)</f>
        <v>9.11</v>
      </c>
      <c r="K899" s="5">
        <f>ROUND(917518.46,0)</f>
        <v>917518</v>
      </c>
      <c r="L899" s="7">
        <f>ROUND(0.0003188768199778,4)</f>
        <v>2.9999999999999997E-4</v>
      </c>
    </row>
    <row r="900" spans="1:12">
      <c r="A900" s="3" t="s">
        <v>1894</v>
      </c>
      <c r="B900" s="4" t="s">
        <v>1895</v>
      </c>
      <c r="C900" s="4" t="s">
        <v>406</v>
      </c>
      <c r="D900" s="4" t="s">
        <v>489</v>
      </c>
      <c r="E900" s="4" t="s">
        <v>490</v>
      </c>
      <c r="F900" s="4" t="s">
        <v>45</v>
      </c>
      <c r="G900" s="4" t="s">
        <v>408</v>
      </c>
      <c r="H900" s="5">
        <f>ROUND(2300,0)</f>
        <v>2300</v>
      </c>
      <c r="I900" s="6">
        <f>ROUND(4740,2)</f>
        <v>4740</v>
      </c>
      <c r="J900" s="6">
        <f>ROUND(8.407077,2)</f>
        <v>8.41</v>
      </c>
      <c r="K900" s="5">
        <f>ROUND(916539.53,0)</f>
        <v>916540</v>
      </c>
      <c r="L900" s="7">
        <f>ROUND(0.000318536600026933,4)</f>
        <v>2.9999999999999997E-4</v>
      </c>
    </row>
    <row r="901" spans="1:12">
      <c r="A901" s="3" t="s">
        <v>1896</v>
      </c>
      <c r="B901" s="4" t="s">
        <v>1897</v>
      </c>
      <c r="C901" s="4" t="s">
        <v>400</v>
      </c>
      <c r="D901" s="4" t="s">
        <v>407</v>
      </c>
      <c r="E901" s="4" t="s">
        <v>35</v>
      </c>
      <c r="F901" s="4" t="s">
        <v>21</v>
      </c>
      <c r="G901" s="4" t="s">
        <v>408</v>
      </c>
      <c r="H901" s="5">
        <f>ROUND(3039,0)</f>
        <v>3039</v>
      </c>
      <c r="I901" s="6">
        <f>ROUND(33.16,2)</f>
        <v>33.159999999999997</v>
      </c>
      <c r="J901" s="6">
        <f>ROUND(9.08595,2)</f>
        <v>9.09</v>
      </c>
      <c r="K901" s="5">
        <f>ROUND(915620.62,0)</f>
        <v>915621</v>
      </c>
      <c r="L901" s="7">
        <f>ROUND(0.000318217239587421,4)</f>
        <v>2.9999999999999997E-4</v>
      </c>
    </row>
    <row r="902" spans="1:12">
      <c r="A902" s="3" t="s">
        <v>1898</v>
      </c>
      <c r="B902" s="4" t="s">
        <v>1899</v>
      </c>
      <c r="C902" s="4" t="s">
        <v>400</v>
      </c>
      <c r="D902" s="4" t="s">
        <v>1217</v>
      </c>
      <c r="E902" s="4" t="s">
        <v>1218</v>
      </c>
      <c r="F902" s="4" t="s">
        <v>21</v>
      </c>
      <c r="G902" s="4" t="s">
        <v>408</v>
      </c>
      <c r="H902" s="5">
        <f>ROUND(2400,0)</f>
        <v>2400</v>
      </c>
      <c r="I902" s="6">
        <f>ROUND(41.98,2)</f>
        <v>41.98</v>
      </c>
      <c r="J902" s="6">
        <f>ROUND(9.08595,2)</f>
        <v>9.09</v>
      </c>
      <c r="K902" s="5">
        <f>ROUND(915427.63,0)</f>
        <v>915428</v>
      </c>
      <c r="L902" s="7">
        <f>ROUND(0.000318150167326567,4)</f>
        <v>2.9999999999999997E-4</v>
      </c>
    </row>
    <row r="903" spans="1:12">
      <c r="A903" s="3" t="s">
        <v>1900</v>
      </c>
      <c r="B903" s="4" t="s">
        <v>1901</v>
      </c>
      <c r="C903" s="4" t="s">
        <v>400</v>
      </c>
      <c r="D903" s="4" t="s">
        <v>407</v>
      </c>
      <c r="E903" s="4" t="s">
        <v>35</v>
      </c>
      <c r="F903" s="4" t="s">
        <v>21</v>
      </c>
      <c r="G903" s="4" t="s">
        <v>408</v>
      </c>
      <c r="H903" s="5">
        <f>ROUND(1699,0)</f>
        <v>1699</v>
      </c>
      <c r="I903" s="6">
        <f>ROUND(59.255,2)</f>
        <v>59.26</v>
      </c>
      <c r="J903" s="6">
        <f>ROUND(9.08595,2)</f>
        <v>9.09</v>
      </c>
      <c r="K903" s="5">
        <f>ROUND(914721.2,0)</f>
        <v>914721</v>
      </c>
      <c r="L903" s="7">
        <f>ROUND(0.000317904652754645,4)</f>
        <v>2.9999999999999997E-4</v>
      </c>
    </row>
    <row r="904" spans="1:12">
      <c r="A904" s="3" t="s">
        <v>1902</v>
      </c>
      <c r="B904" s="4" t="s">
        <v>1903</v>
      </c>
      <c r="C904" s="4" t="s">
        <v>545</v>
      </c>
      <c r="D904" s="4" t="s">
        <v>1246</v>
      </c>
      <c r="E904" s="4" t="s">
        <v>1247</v>
      </c>
      <c r="F904" s="4" t="s">
        <v>1248</v>
      </c>
      <c r="G904" s="4" t="s">
        <v>408</v>
      </c>
      <c r="H904" s="5">
        <f>ROUND(20268,0)</f>
        <v>20268</v>
      </c>
      <c r="I904" s="6">
        <f>ROUND(1726,2)</f>
        <v>1726</v>
      </c>
      <c r="J904" s="6">
        <f>ROUND(2.6140712,2)</f>
        <v>2.61</v>
      </c>
      <c r="K904" s="5">
        <f>ROUND(914469.24,0)</f>
        <v>914469</v>
      </c>
      <c r="L904" s="7">
        <f>ROUND(0.000317817085902245,4)</f>
        <v>2.9999999999999997E-4</v>
      </c>
    </row>
    <row r="905" spans="1:12">
      <c r="A905" s="3" t="s">
        <v>1904</v>
      </c>
      <c r="B905" s="4" t="s">
        <v>1905</v>
      </c>
      <c r="C905" s="4" t="s">
        <v>406</v>
      </c>
      <c r="D905" s="4" t="s">
        <v>407</v>
      </c>
      <c r="E905" s="4" t="s">
        <v>35</v>
      </c>
      <c r="F905" s="4" t="s">
        <v>21</v>
      </c>
      <c r="G905" s="4" t="s">
        <v>408</v>
      </c>
      <c r="H905" s="5">
        <f>ROUND(532,0)</f>
        <v>532</v>
      </c>
      <c r="I905" s="6">
        <f>ROUND(188.63,2)</f>
        <v>188.63</v>
      </c>
      <c r="J905" s="6">
        <f>ROUND(9.08595,2)</f>
        <v>9.09</v>
      </c>
      <c r="K905" s="5">
        <f>ROUND(911785.62,0)</f>
        <v>911786</v>
      </c>
      <c r="L905" s="7">
        <f>ROUND(0.000316884413428681,4)</f>
        <v>2.9999999999999997E-4</v>
      </c>
    </row>
    <row r="906" spans="1:12">
      <c r="A906" s="3" t="s">
        <v>1906</v>
      </c>
      <c r="B906" s="4" t="s">
        <v>1907</v>
      </c>
      <c r="C906" s="4" t="s">
        <v>406</v>
      </c>
      <c r="D906" s="4" t="s">
        <v>407</v>
      </c>
      <c r="E906" s="4" t="s">
        <v>35</v>
      </c>
      <c r="F906" s="4" t="s">
        <v>21</v>
      </c>
      <c r="G906" s="4" t="s">
        <v>408</v>
      </c>
      <c r="H906" s="5">
        <f>ROUND(492,0)</f>
        <v>492</v>
      </c>
      <c r="I906" s="6">
        <f>ROUND(203.83,2)</f>
        <v>203.83</v>
      </c>
      <c r="J906" s="6">
        <f>ROUND(9.08595,2)</f>
        <v>9.09</v>
      </c>
      <c r="K906" s="5">
        <f>ROUND(911178.68,0)</f>
        <v>911179</v>
      </c>
      <c r="L906" s="7">
        <f>ROUND(0.000316673475877498,4)</f>
        <v>2.9999999999999997E-4</v>
      </c>
    </row>
    <row r="907" spans="1:12">
      <c r="A907" s="3" t="s">
        <v>1908</v>
      </c>
      <c r="B907" s="4" t="s">
        <v>1909</v>
      </c>
      <c r="C907" s="4" t="s">
        <v>422</v>
      </c>
      <c r="D907" s="4" t="s">
        <v>489</v>
      </c>
      <c r="E907" s="4" t="s">
        <v>490</v>
      </c>
      <c r="F907" s="4" t="s">
        <v>45</v>
      </c>
      <c r="G907" s="4" t="s">
        <v>408</v>
      </c>
      <c r="H907" s="5">
        <f>ROUND(5300,0)</f>
        <v>5300</v>
      </c>
      <c r="I907" s="6">
        <f>ROUND(2040,2)</f>
        <v>2040</v>
      </c>
      <c r="J907" s="6">
        <f>ROUND(8.407077,2)</f>
        <v>8.41</v>
      </c>
      <c r="K907" s="5">
        <f>ROUND(908973.17,0)</f>
        <v>908973</v>
      </c>
      <c r="L907" s="7">
        <f>ROUND(0.000315906967032293,4)</f>
        <v>2.9999999999999997E-4</v>
      </c>
    </row>
    <row r="908" spans="1:12">
      <c r="A908" s="3" t="s">
        <v>1910</v>
      </c>
      <c r="B908" s="4" t="s">
        <v>1911</v>
      </c>
      <c r="C908" s="4" t="s">
        <v>400</v>
      </c>
      <c r="D908" s="4" t="s">
        <v>486</v>
      </c>
      <c r="E908" s="4" t="s">
        <v>30</v>
      </c>
      <c r="F908" s="4" t="s">
        <v>20</v>
      </c>
      <c r="G908" s="4" t="s">
        <v>408</v>
      </c>
      <c r="H908" s="5">
        <f>ROUND(32647,0)</f>
        <v>32647</v>
      </c>
      <c r="I908" s="6">
        <f>ROUND(248.4,2)</f>
        <v>248.4</v>
      </c>
      <c r="J908" s="6">
        <f>ROUND(11.19645077,2)</f>
        <v>11.2</v>
      </c>
      <c r="K908" s="5">
        <f>ROUND(907977.85,0)</f>
        <v>907978</v>
      </c>
      <c r="L908" s="7">
        <f>ROUND(0.000315561050856982,4)</f>
        <v>2.9999999999999997E-4</v>
      </c>
    </row>
    <row r="909" spans="1:12">
      <c r="A909" s="3" t="s">
        <v>1912</v>
      </c>
      <c r="B909" s="4" t="s">
        <v>1913</v>
      </c>
      <c r="C909" s="4" t="s">
        <v>406</v>
      </c>
      <c r="D909" s="4" t="s">
        <v>456</v>
      </c>
      <c r="E909" s="4" t="s">
        <v>457</v>
      </c>
      <c r="F909" s="4" t="s">
        <v>26</v>
      </c>
      <c r="G909" s="4" t="s">
        <v>408</v>
      </c>
      <c r="H909" s="5">
        <f>ROUND(88800,0)</f>
        <v>88800</v>
      </c>
      <c r="I909" s="6">
        <f>ROUND(8.8,2)</f>
        <v>8.8000000000000007</v>
      </c>
      <c r="J909" s="6">
        <f>ROUND(1.15901246,2)</f>
        <v>1.1599999999999999</v>
      </c>
      <c r="K909" s="5">
        <f>ROUND(905698.7,0)</f>
        <v>905699</v>
      </c>
      <c r="L909" s="7">
        <f>ROUND(0.000314768948969187,4)</f>
        <v>2.9999999999999997E-4</v>
      </c>
    </row>
    <row r="910" spans="1:12">
      <c r="A910" s="3" t="s">
        <v>1914</v>
      </c>
      <c r="B910" s="4" t="s">
        <v>1915</v>
      </c>
      <c r="C910" s="4" t="s">
        <v>422</v>
      </c>
      <c r="D910" s="4" t="s">
        <v>390</v>
      </c>
      <c r="E910" s="4" t="s">
        <v>391</v>
      </c>
      <c r="F910" s="4" t="s">
        <v>72</v>
      </c>
      <c r="G910" s="4" t="s">
        <v>408</v>
      </c>
      <c r="H910" s="5">
        <f>ROUND(7956,0)</f>
        <v>7956</v>
      </c>
      <c r="I910" s="6">
        <f>ROUND(18.57,2)</f>
        <v>18.57</v>
      </c>
      <c r="J910" s="6">
        <f>ROUND(6.12812423,2)</f>
        <v>6.13</v>
      </c>
      <c r="K910" s="5">
        <f>ROUND(905386.97,0)</f>
        <v>905387</v>
      </c>
      <c r="L910" s="7">
        <f>ROUND(0.0003146606094911,4)</f>
        <v>2.9999999999999997E-4</v>
      </c>
    </row>
    <row r="911" spans="1:12">
      <c r="A911" s="3" t="s">
        <v>1916</v>
      </c>
      <c r="B911" s="4" t="s">
        <v>1917</v>
      </c>
      <c r="C911" s="4" t="s">
        <v>445</v>
      </c>
      <c r="D911" s="4" t="s">
        <v>407</v>
      </c>
      <c r="E911" s="4" t="s">
        <v>35</v>
      </c>
      <c r="F911" s="4" t="s">
        <v>21</v>
      </c>
      <c r="G911" s="4" t="s">
        <v>408</v>
      </c>
      <c r="H911" s="5">
        <f>ROUND(2100,0)</f>
        <v>2100</v>
      </c>
      <c r="I911" s="6">
        <f>ROUND(47.19,2)</f>
        <v>47.19</v>
      </c>
      <c r="J911" s="6">
        <f>ROUND(9.08595,2)</f>
        <v>9.09</v>
      </c>
      <c r="K911" s="5">
        <f>ROUND(900408.56,0)</f>
        <v>900409</v>
      </c>
      <c r="L911" s="7">
        <f>ROUND(0.000312930399562304,4)</f>
        <v>2.9999999999999997E-4</v>
      </c>
    </row>
    <row r="912" spans="1:12">
      <c r="A912" s="3" t="s">
        <v>1918</v>
      </c>
      <c r="B912" s="4" t="s">
        <v>1919</v>
      </c>
      <c r="C912" s="4" t="s">
        <v>422</v>
      </c>
      <c r="D912" s="4" t="s">
        <v>407</v>
      </c>
      <c r="E912" s="4" t="s">
        <v>35</v>
      </c>
      <c r="F912" s="4" t="s">
        <v>21</v>
      </c>
      <c r="G912" s="4" t="s">
        <v>408</v>
      </c>
      <c r="H912" s="5">
        <f>ROUND(899,0)</f>
        <v>899</v>
      </c>
      <c r="I912" s="6">
        <f>ROUND(110.02,2)</f>
        <v>110.02</v>
      </c>
      <c r="J912" s="6">
        <f>ROUND(9.08595,2)</f>
        <v>9.09</v>
      </c>
      <c r="K912" s="5">
        <f>ROUND(898672.96,0)</f>
        <v>898673</v>
      </c>
      <c r="L912" s="7">
        <f>ROUND(0.000312327204495522,4)</f>
        <v>2.9999999999999997E-4</v>
      </c>
    </row>
    <row r="913" spans="1:12">
      <c r="A913" s="3" t="s">
        <v>1920</v>
      </c>
      <c r="B913" s="4" t="s">
        <v>1921</v>
      </c>
      <c r="C913" s="4" t="s">
        <v>389</v>
      </c>
      <c r="D913" s="4" t="s">
        <v>1127</v>
      </c>
      <c r="E913" s="4" t="s">
        <v>1128</v>
      </c>
      <c r="F913" s="4" t="s">
        <v>21</v>
      </c>
      <c r="G913" s="4" t="s">
        <v>408</v>
      </c>
      <c r="H913" s="5">
        <f>ROUND(1131,0)</f>
        <v>1131</v>
      </c>
      <c r="I913" s="6">
        <f>ROUND(87.42,2)</f>
        <v>87.42</v>
      </c>
      <c r="J913" s="6">
        <f>ROUND(9.08595,2)</f>
        <v>9.09</v>
      </c>
      <c r="K913" s="5">
        <f>ROUND(898346.23,0)</f>
        <v>898346</v>
      </c>
      <c r="L913" s="7">
        <f>ROUND(0.00031221365187731,4)</f>
        <v>2.9999999999999997E-4</v>
      </c>
    </row>
    <row r="914" spans="1:12">
      <c r="A914" s="3" t="s">
        <v>1922</v>
      </c>
      <c r="B914" s="4" t="s">
        <v>1923</v>
      </c>
      <c r="C914" s="4" t="s">
        <v>400</v>
      </c>
      <c r="D914" s="4" t="s">
        <v>407</v>
      </c>
      <c r="E914" s="4" t="s">
        <v>35</v>
      </c>
      <c r="F914" s="4" t="s">
        <v>21</v>
      </c>
      <c r="G914" s="4" t="s">
        <v>408</v>
      </c>
      <c r="H914" s="5">
        <f>ROUND(406,0)</f>
        <v>406</v>
      </c>
      <c r="I914" s="6">
        <f>ROUND(242.97,2)</f>
        <v>242.97</v>
      </c>
      <c r="J914" s="6">
        <f>ROUND(9.08595,2)</f>
        <v>9.09</v>
      </c>
      <c r="K914" s="5">
        <f>ROUND(896290.99,0)</f>
        <v>896291</v>
      </c>
      <c r="L914" s="7">
        <f>ROUND(0.000311499368269881,4)</f>
        <v>2.9999999999999997E-4</v>
      </c>
    </row>
    <row r="915" spans="1:12">
      <c r="A915" s="3" t="s">
        <v>1924</v>
      </c>
      <c r="B915" s="4" t="s">
        <v>1925</v>
      </c>
      <c r="C915" s="4" t="s">
        <v>415</v>
      </c>
      <c r="D915" s="4" t="s">
        <v>789</v>
      </c>
      <c r="E915" s="4" t="s">
        <v>790</v>
      </c>
      <c r="F915" s="4" t="s">
        <v>791</v>
      </c>
      <c r="G915" s="4" t="s">
        <v>408</v>
      </c>
      <c r="H915" s="5">
        <f>ROUND(19020,0)</f>
        <v>19020</v>
      </c>
      <c r="I915" s="6">
        <f>ROUND(367.05,2)</f>
        <v>367.05</v>
      </c>
      <c r="J915" s="6">
        <f>ROUND(0.12820804,2)</f>
        <v>0.13</v>
      </c>
      <c r="K915" s="5">
        <f>ROUND(895057.64,0)</f>
        <v>895058</v>
      </c>
      <c r="L915" s="7">
        <f>ROUND(0.000311070726511633,4)</f>
        <v>2.9999999999999997E-4</v>
      </c>
    </row>
    <row r="916" spans="1:12">
      <c r="A916" s="3" t="s">
        <v>1926</v>
      </c>
      <c r="B916" s="4" t="s">
        <v>1927</v>
      </c>
      <c r="C916" s="4" t="s">
        <v>406</v>
      </c>
      <c r="D916" s="4" t="s">
        <v>407</v>
      </c>
      <c r="E916" s="4" t="s">
        <v>35</v>
      </c>
      <c r="F916" s="4" t="s">
        <v>21</v>
      </c>
      <c r="G916" s="4" t="s">
        <v>408</v>
      </c>
      <c r="H916" s="5">
        <f>ROUND(1700,0)</f>
        <v>1700</v>
      </c>
      <c r="I916" s="6">
        <f>ROUND(57.91,2)</f>
        <v>57.91</v>
      </c>
      <c r="J916" s="6">
        <f>ROUND(9.08595,2)</f>
        <v>9.09</v>
      </c>
      <c r="K916" s="5">
        <f>ROUND(894484.52,0)</f>
        <v>894485</v>
      </c>
      <c r="L916" s="7">
        <f>ROUND(0.000310871542853719,4)</f>
        <v>2.9999999999999997E-4</v>
      </c>
    </row>
    <row r="917" spans="1:12">
      <c r="A917" s="3" t="s">
        <v>1928</v>
      </c>
      <c r="B917" s="4" t="s">
        <v>1929</v>
      </c>
      <c r="C917" s="4" t="s">
        <v>389</v>
      </c>
      <c r="D917" s="4" t="s">
        <v>1024</v>
      </c>
      <c r="E917" s="4" t="s">
        <v>1025</v>
      </c>
      <c r="F917" s="4" t="s">
        <v>1026</v>
      </c>
      <c r="G917" s="4" t="s">
        <v>408</v>
      </c>
      <c r="H917" s="5">
        <f>ROUND(5071,0)</f>
        <v>5071</v>
      </c>
      <c r="I917" s="6">
        <f>ROUND(190.84,2)</f>
        <v>190.84</v>
      </c>
      <c r="J917" s="6">
        <f>ROUND(0.92410673,2)</f>
        <v>0.92</v>
      </c>
      <c r="K917" s="5">
        <f>ROUND(894303.96,0)</f>
        <v>894304</v>
      </c>
      <c r="L917" s="7">
        <f>ROUND(0.000310808790548316,4)</f>
        <v>2.9999999999999997E-4</v>
      </c>
    </row>
    <row r="918" spans="1:12">
      <c r="A918" s="3" t="s">
        <v>1930</v>
      </c>
      <c r="B918" s="4" t="s">
        <v>1931</v>
      </c>
      <c r="C918" s="4" t="s">
        <v>566</v>
      </c>
      <c r="D918" s="4" t="s">
        <v>407</v>
      </c>
      <c r="E918" s="4" t="s">
        <v>35</v>
      </c>
      <c r="F918" s="4" t="s">
        <v>21</v>
      </c>
      <c r="G918" s="4" t="s">
        <v>408</v>
      </c>
      <c r="H918" s="5">
        <f>ROUND(2760,0)</f>
        <v>2760</v>
      </c>
      <c r="I918" s="6">
        <f>ROUND(35.63,2)</f>
        <v>35.630000000000003</v>
      </c>
      <c r="J918" s="6">
        <f>ROUND(9.08595,2)</f>
        <v>9.09</v>
      </c>
      <c r="K918" s="5">
        <f>ROUND(893501.42,0)</f>
        <v>893501</v>
      </c>
      <c r="L918" s="7">
        <f>ROUND(0.000310529873649897,4)</f>
        <v>2.9999999999999997E-4</v>
      </c>
    </row>
    <row r="919" spans="1:12">
      <c r="A919" s="3" t="s">
        <v>1932</v>
      </c>
      <c r="B919" s="4" t="s">
        <v>1933</v>
      </c>
      <c r="C919" s="4" t="s">
        <v>422</v>
      </c>
      <c r="D919" s="4" t="s">
        <v>407</v>
      </c>
      <c r="E919" s="4" t="s">
        <v>35</v>
      </c>
      <c r="F919" s="4" t="s">
        <v>21</v>
      </c>
      <c r="G919" s="4" t="s">
        <v>408</v>
      </c>
      <c r="H919" s="5">
        <f>ROUND(2242,0)</f>
        <v>2242</v>
      </c>
      <c r="I919" s="6">
        <f>ROUND(43.73,2)</f>
        <v>43.73</v>
      </c>
      <c r="J919" s="6">
        <f>ROUND(9.08595,2)</f>
        <v>9.09</v>
      </c>
      <c r="K919" s="5">
        <f>ROUND(890810.71,0)</f>
        <v>890811</v>
      </c>
      <c r="L919" s="7">
        <f>ROUND(0.000309594737098767,4)</f>
        <v>2.9999999999999997E-4</v>
      </c>
    </row>
    <row r="920" spans="1:12">
      <c r="A920" s="3" t="s">
        <v>1934</v>
      </c>
      <c r="B920" s="4" t="s">
        <v>1935</v>
      </c>
      <c r="C920" s="4" t="s">
        <v>406</v>
      </c>
      <c r="D920" s="4" t="s">
        <v>407</v>
      </c>
      <c r="E920" s="4" t="s">
        <v>35</v>
      </c>
      <c r="F920" s="4" t="s">
        <v>21</v>
      </c>
      <c r="G920" s="4" t="s">
        <v>408</v>
      </c>
      <c r="H920" s="5">
        <f>ROUND(890,0)</f>
        <v>890</v>
      </c>
      <c r="I920" s="6">
        <f>ROUND(109.96,2)</f>
        <v>109.96</v>
      </c>
      <c r="J920" s="6">
        <f>ROUND(9.08595,2)</f>
        <v>9.09</v>
      </c>
      <c r="K920" s="5">
        <f>ROUND(889191.05,0)</f>
        <v>889191</v>
      </c>
      <c r="L920" s="7">
        <f>ROUND(0.000309031836129728,4)</f>
        <v>2.9999999999999997E-4</v>
      </c>
    </row>
    <row r="921" spans="1:12">
      <c r="A921" s="3" t="s">
        <v>1936</v>
      </c>
      <c r="B921" s="4" t="s">
        <v>1937</v>
      </c>
      <c r="C921" s="4" t="s">
        <v>400</v>
      </c>
      <c r="D921" s="4" t="s">
        <v>1724</v>
      </c>
      <c r="E921" s="4" t="s">
        <v>1725</v>
      </c>
      <c r="F921" s="4" t="s">
        <v>1726</v>
      </c>
      <c r="G921" s="4" t="s">
        <v>408</v>
      </c>
      <c r="H921" s="5">
        <f>ROUND(48100,0)</f>
        <v>48100</v>
      </c>
      <c r="I921" s="6">
        <f>ROUND(8.51,2)</f>
        <v>8.51</v>
      </c>
      <c r="J921" s="6">
        <f>ROUND(2.17002213,2)</f>
        <v>2.17</v>
      </c>
      <c r="K921" s="5">
        <f>ROUND(888257.33,0)</f>
        <v>888257</v>
      </c>
      <c r="L921" s="7">
        <f>ROUND(0.000308707328583199,4)</f>
        <v>2.9999999999999997E-4</v>
      </c>
    </row>
    <row r="922" spans="1:12">
      <c r="A922" s="3" t="s">
        <v>1938</v>
      </c>
      <c r="B922" s="4" t="s">
        <v>1939</v>
      </c>
      <c r="C922" s="4" t="s">
        <v>415</v>
      </c>
      <c r="D922" s="4" t="s">
        <v>423</v>
      </c>
      <c r="E922" s="4" t="s">
        <v>25</v>
      </c>
      <c r="F922" s="4" t="s">
        <v>16</v>
      </c>
      <c r="G922" s="4" t="s">
        <v>408</v>
      </c>
      <c r="H922" s="5">
        <f>ROUND(198,0)</f>
        <v>198</v>
      </c>
      <c r="I922" s="6">
        <f>ROUND(492.3,2)</f>
        <v>492.3</v>
      </c>
      <c r="J922" s="6">
        <f>ROUND(9.11185723,2)</f>
        <v>9.11</v>
      </c>
      <c r="K922" s="5">
        <f>ROUND(888181.93,0)</f>
        <v>888182</v>
      </c>
      <c r="L922" s="7">
        <f>ROUND(0.000308681123865502,4)</f>
        <v>2.9999999999999997E-4</v>
      </c>
    </row>
    <row r="923" spans="1:12">
      <c r="A923" s="3" t="s">
        <v>1940</v>
      </c>
      <c r="B923" s="4" t="s">
        <v>1941</v>
      </c>
      <c r="C923" s="4" t="s">
        <v>389</v>
      </c>
      <c r="D923" s="4" t="s">
        <v>789</v>
      </c>
      <c r="E923" s="4" t="s">
        <v>790</v>
      </c>
      <c r="F923" s="4" t="s">
        <v>791</v>
      </c>
      <c r="G923" s="4" t="s">
        <v>408</v>
      </c>
      <c r="H923" s="5">
        <f>ROUND(2354,0)</f>
        <v>2354</v>
      </c>
      <c r="I923" s="6">
        <f>ROUND(2941.8,2)</f>
        <v>2941.8</v>
      </c>
      <c r="J923" s="6">
        <f>ROUND(0.12820804,2)</f>
        <v>0.13</v>
      </c>
      <c r="K923" s="5">
        <f>ROUND(887840.32,0)</f>
        <v>887840</v>
      </c>
      <c r="L923" s="7">
        <f>ROUND(0.000308562399812285,4)</f>
        <v>2.9999999999999997E-4</v>
      </c>
    </row>
    <row r="924" spans="1:12">
      <c r="A924" s="3" t="s">
        <v>1942</v>
      </c>
      <c r="B924" s="4" t="s">
        <v>1943</v>
      </c>
      <c r="C924" s="4" t="s">
        <v>430</v>
      </c>
      <c r="D924" s="4" t="s">
        <v>789</v>
      </c>
      <c r="E924" s="4" t="s">
        <v>790</v>
      </c>
      <c r="F924" s="4" t="s">
        <v>791</v>
      </c>
      <c r="G924" s="4" t="s">
        <v>408</v>
      </c>
      <c r="H924" s="5">
        <f>ROUND(14719,0)</f>
        <v>14719</v>
      </c>
      <c r="I924" s="6">
        <f>ROUND(470.1,2)</f>
        <v>470.1</v>
      </c>
      <c r="J924" s="6">
        <f>ROUND(0.12820804,2)</f>
        <v>0.13</v>
      </c>
      <c r="K924" s="5">
        <f>ROUND(887122.96,0)</f>
        <v>887123</v>
      </c>
      <c r="L924" s="7">
        <f>ROUND(0.000308313086598926,4)</f>
        <v>2.9999999999999997E-4</v>
      </c>
    </row>
    <row r="925" spans="1:12">
      <c r="A925" s="3" t="s">
        <v>1944</v>
      </c>
      <c r="B925" s="4" t="s">
        <v>1945</v>
      </c>
      <c r="C925" s="4" t="s">
        <v>400</v>
      </c>
      <c r="D925" s="4" t="s">
        <v>739</v>
      </c>
      <c r="E925" s="4" t="s">
        <v>740</v>
      </c>
      <c r="F925" s="4" t="s">
        <v>741</v>
      </c>
      <c r="G925" s="4" t="s">
        <v>408</v>
      </c>
      <c r="H925" s="5">
        <f>ROUND(2735,0)</f>
        <v>2735</v>
      </c>
      <c r="I925" s="6">
        <f>ROUND(42700,2)</f>
        <v>42700</v>
      </c>
      <c r="J925" s="6">
        <f>ROUND(0.00759599,2)</f>
        <v>0.01</v>
      </c>
      <c r="K925" s="5">
        <f>ROUND(887093.89,0)</f>
        <v>887094</v>
      </c>
      <c r="L925" s="7">
        <f>ROUND(0.000308302983533363,4)</f>
        <v>2.9999999999999997E-4</v>
      </c>
    </row>
    <row r="926" spans="1:12">
      <c r="A926" s="3" t="s">
        <v>1946</v>
      </c>
      <c r="B926" s="4" t="s">
        <v>1947</v>
      </c>
      <c r="C926" s="4" t="s">
        <v>400</v>
      </c>
      <c r="D926" s="4" t="s">
        <v>541</v>
      </c>
      <c r="E926" s="4" t="s">
        <v>542</v>
      </c>
      <c r="F926" s="4" t="s">
        <v>18</v>
      </c>
      <c r="G926" s="4" t="s">
        <v>408</v>
      </c>
      <c r="H926" s="5">
        <f>ROUND(13016,0)</f>
        <v>13016</v>
      </c>
      <c r="I926" s="6">
        <f>ROUND(6.871,2)</f>
        <v>6.87</v>
      </c>
      <c r="J926" s="6">
        <f>ROUND(9.9055,2)</f>
        <v>9.91</v>
      </c>
      <c r="K926" s="5">
        <f>ROUND(885877.99,0)</f>
        <v>885878</v>
      </c>
      <c r="L926" s="7">
        <f>ROUND(0.000307880406394794,4)</f>
        <v>2.9999999999999997E-4</v>
      </c>
    </row>
    <row r="927" spans="1:12">
      <c r="A927" s="3" t="s">
        <v>1948</v>
      </c>
      <c r="B927" s="4" t="s">
        <v>1949</v>
      </c>
      <c r="C927" s="4" t="s">
        <v>566</v>
      </c>
      <c r="D927" s="4" t="s">
        <v>390</v>
      </c>
      <c r="E927" s="4" t="s">
        <v>391</v>
      </c>
      <c r="F927" s="4" t="s">
        <v>72</v>
      </c>
      <c r="G927" s="4" t="s">
        <v>408</v>
      </c>
      <c r="H927" s="5">
        <f>ROUND(31763,0)</f>
        <v>31763</v>
      </c>
      <c r="I927" s="6">
        <f>ROUND(4.55,2)</f>
        <v>4.55</v>
      </c>
      <c r="J927" s="6">
        <f>ROUND(6.12812423,2)</f>
        <v>6.13</v>
      </c>
      <c r="K927" s="5">
        <f>ROUND(885646.63,0)</f>
        <v>885647</v>
      </c>
      <c r="L927" s="7">
        <f>ROUND(0.000307799998921499,4)</f>
        <v>2.9999999999999997E-4</v>
      </c>
    </row>
    <row r="928" spans="1:12">
      <c r="A928" s="3" t="s">
        <v>1950</v>
      </c>
      <c r="B928" s="4" t="s">
        <v>1951</v>
      </c>
      <c r="C928" s="4" t="s">
        <v>545</v>
      </c>
      <c r="D928" s="4" t="s">
        <v>766</v>
      </c>
      <c r="E928" s="4" t="s">
        <v>767</v>
      </c>
      <c r="F928" s="4" t="s">
        <v>768</v>
      </c>
      <c r="G928" s="4" t="s">
        <v>408</v>
      </c>
      <c r="H928" s="5">
        <f>ROUND(7300,0)</f>
        <v>7300</v>
      </c>
      <c r="I928" s="6">
        <f>ROUND(408,2)</f>
        <v>408</v>
      </c>
      <c r="J928" s="6">
        <f>ROUND(0.29707172,2)</f>
        <v>0.3</v>
      </c>
      <c r="K928" s="5">
        <f>ROUND(884798.41,0)</f>
        <v>884798</v>
      </c>
      <c r="L928" s="7">
        <f>ROUND(0.000307505206273685,4)</f>
        <v>2.9999999999999997E-4</v>
      </c>
    </row>
    <row r="929" spans="1:12">
      <c r="A929" s="3" t="s">
        <v>1952</v>
      </c>
      <c r="B929" s="4" t="s">
        <v>1953</v>
      </c>
      <c r="C929" s="4" t="s">
        <v>415</v>
      </c>
      <c r="D929" s="4" t="s">
        <v>1333</v>
      </c>
      <c r="E929" s="4" t="s">
        <v>3</v>
      </c>
      <c r="F929" s="4" t="s">
        <v>1334</v>
      </c>
      <c r="G929" s="4" t="s">
        <v>408</v>
      </c>
      <c r="H929" s="5">
        <f>ROUND(320500,0)</f>
        <v>320500</v>
      </c>
      <c r="I929" s="6">
        <f>ROUND(4310,2)</f>
        <v>4310</v>
      </c>
      <c r="J929" s="6">
        <f>ROUND(6.4008,2)</f>
        <v>6.4</v>
      </c>
      <c r="K929" s="5">
        <f>ROUND(884177.71,0)</f>
        <v>884178</v>
      </c>
      <c r="L929" s="7">
        <f>ROUND(0.000307289486535294,4)</f>
        <v>2.9999999999999997E-4</v>
      </c>
    </row>
    <row r="930" spans="1:12">
      <c r="A930" s="3" t="s">
        <v>1954</v>
      </c>
      <c r="B930" s="4" t="s">
        <v>1955</v>
      </c>
      <c r="C930" s="4" t="s">
        <v>400</v>
      </c>
      <c r="D930" s="4" t="s">
        <v>489</v>
      </c>
      <c r="E930" s="4" t="s">
        <v>490</v>
      </c>
      <c r="F930" s="4" t="s">
        <v>45</v>
      </c>
      <c r="G930" s="4" t="s">
        <v>408</v>
      </c>
      <c r="H930" s="5">
        <f>ROUND(3000,0)</f>
        <v>3000</v>
      </c>
      <c r="I930" s="6">
        <f>ROUND(3500,2)</f>
        <v>3500</v>
      </c>
      <c r="J930" s="6">
        <f>ROUND(8.407077,2)</f>
        <v>8.41</v>
      </c>
      <c r="K930" s="5">
        <f>ROUND(882743.09,0)</f>
        <v>882743</v>
      </c>
      <c r="L930" s="7">
        <f>ROUND(0.000306790894862842,4)</f>
        <v>2.9999999999999997E-4</v>
      </c>
    </row>
    <row r="931" spans="1:12">
      <c r="A931" s="3" t="s">
        <v>1956</v>
      </c>
      <c r="B931" s="4" t="s">
        <v>1957</v>
      </c>
      <c r="C931" s="4" t="s">
        <v>422</v>
      </c>
      <c r="D931" s="4" t="s">
        <v>489</v>
      </c>
      <c r="E931" s="4" t="s">
        <v>490</v>
      </c>
      <c r="F931" s="4" t="s">
        <v>45</v>
      </c>
      <c r="G931" s="4" t="s">
        <v>408</v>
      </c>
      <c r="H931" s="5">
        <f>ROUND(5300,0)</f>
        <v>5300</v>
      </c>
      <c r="I931" s="6">
        <f>ROUND(1980.5,2)</f>
        <v>1980.5</v>
      </c>
      <c r="J931" s="6">
        <f>ROUND(8.407077,2)</f>
        <v>8.41</v>
      </c>
      <c r="K931" s="5">
        <f>ROUND(882461.45,0)</f>
        <v>882461</v>
      </c>
      <c r="L931" s="7">
        <f>ROUND(0.000306693012943847,4)</f>
        <v>2.9999999999999997E-4</v>
      </c>
    </row>
    <row r="932" spans="1:12">
      <c r="A932" s="3" t="s">
        <v>1958</v>
      </c>
      <c r="B932" s="4" t="s">
        <v>1959</v>
      </c>
      <c r="C932" s="4" t="s">
        <v>534</v>
      </c>
      <c r="D932" s="4" t="s">
        <v>514</v>
      </c>
      <c r="E932" s="4" t="s">
        <v>515</v>
      </c>
      <c r="F932" s="4" t="s">
        <v>190</v>
      </c>
      <c r="G932" s="4" t="s">
        <v>408</v>
      </c>
      <c r="H932" s="5">
        <f>ROUND(1452,0)</f>
        <v>1452</v>
      </c>
      <c r="I932" s="6">
        <f>ROUND(88.55,2)</f>
        <v>88.55</v>
      </c>
      <c r="J932" s="6">
        <f>ROUND(6.86237833,2)</f>
        <v>6.86</v>
      </c>
      <c r="K932" s="5">
        <f>ROUND(882327.55,0)</f>
        <v>882328</v>
      </c>
      <c r="L932" s="7">
        <f>ROUND(0.00030664647697966,4)</f>
        <v>2.9999999999999997E-4</v>
      </c>
    </row>
    <row r="933" spans="1:12">
      <c r="A933" s="3" t="s">
        <v>1960</v>
      </c>
      <c r="B933" s="4" t="s">
        <v>1961</v>
      </c>
      <c r="C933" s="4" t="s">
        <v>430</v>
      </c>
      <c r="D933" s="4" t="s">
        <v>489</v>
      </c>
      <c r="E933" s="4" t="s">
        <v>490</v>
      </c>
      <c r="F933" s="4" t="s">
        <v>45</v>
      </c>
      <c r="G933" s="4" t="s">
        <v>408</v>
      </c>
      <c r="H933" s="5">
        <f>ROUND(21300,0)</f>
        <v>21300</v>
      </c>
      <c r="I933" s="6">
        <f>ROUND(492.4,2)</f>
        <v>492.4</v>
      </c>
      <c r="J933" s="6">
        <f>ROUND(8.407077,2)</f>
        <v>8.41</v>
      </c>
      <c r="K933" s="5">
        <f>ROUND(881744.32,0)</f>
        <v>881744</v>
      </c>
      <c r="L933" s="7">
        <f>ROUND(0.000306443779665302,4)</f>
        <v>2.9999999999999997E-4</v>
      </c>
    </row>
    <row r="934" spans="1:12">
      <c r="A934" s="3" t="s">
        <v>1962</v>
      </c>
      <c r="B934" s="4" t="s">
        <v>1963</v>
      </c>
      <c r="C934" s="4" t="s">
        <v>430</v>
      </c>
      <c r="D934" s="4" t="s">
        <v>407</v>
      </c>
      <c r="E934" s="4" t="s">
        <v>35</v>
      </c>
      <c r="F934" s="4" t="s">
        <v>21</v>
      </c>
      <c r="G934" s="4" t="s">
        <v>408</v>
      </c>
      <c r="H934" s="5">
        <f>ROUND(1603,0)</f>
        <v>1603</v>
      </c>
      <c r="I934" s="6">
        <f>ROUND(60.48,2)</f>
        <v>60.48</v>
      </c>
      <c r="J934" s="6">
        <f>ROUND(9.08595,2)</f>
        <v>9.09</v>
      </c>
      <c r="K934" s="5">
        <f>ROUND(880877.76,0)</f>
        <v>880878</v>
      </c>
      <c r="L934" s="7">
        <f>ROUND(0.000306142613084828,4)</f>
        <v>2.9999999999999997E-4</v>
      </c>
    </row>
    <row r="935" spans="1:12">
      <c r="A935" s="3" t="s">
        <v>1964</v>
      </c>
      <c r="B935" s="4" t="s">
        <v>1965</v>
      </c>
      <c r="C935" s="4" t="s">
        <v>400</v>
      </c>
      <c r="D935" s="4" t="s">
        <v>552</v>
      </c>
      <c r="E935" s="4" t="s">
        <v>553</v>
      </c>
      <c r="F935" s="4" t="s">
        <v>26</v>
      </c>
      <c r="G935" s="4" t="s">
        <v>408</v>
      </c>
      <c r="H935" s="5">
        <f>ROUND(28500,0)</f>
        <v>28500</v>
      </c>
      <c r="I935" s="6">
        <f>ROUND(26.6,2)</f>
        <v>26.6</v>
      </c>
      <c r="J935" s="6">
        <f>ROUND(1.15901246,2)</f>
        <v>1.1599999999999999</v>
      </c>
      <c r="K935" s="5">
        <f>ROUND(878647.35,0)</f>
        <v>878647</v>
      </c>
      <c r="L935" s="7">
        <f>ROUND(0.000305367450427015,4)</f>
        <v>2.9999999999999997E-4</v>
      </c>
    </row>
    <row r="936" spans="1:12">
      <c r="A936" s="3" t="s">
        <v>1966</v>
      </c>
      <c r="B936" s="4" t="s">
        <v>1967</v>
      </c>
      <c r="C936" s="4" t="s">
        <v>534</v>
      </c>
      <c r="D936" s="4" t="s">
        <v>407</v>
      </c>
      <c r="E936" s="4" t="s">
        <v>35</v>
      </c>
      <c r="F936" s="4" t="s">
        <v>21</v>
      </c>
      <c r="G936" s="4" t="s">
        <v>408</v>
      </c>
      <c r="H936" s="5">
        <f>ROUND(1767,0)</f>
        <v>1767</v>
      </c>
      <c r="I936" s="6">
        <f>ROUND(54.7,2)</f>
        <v>54.7</v>
      </c>
      <c r="J936" s="6">
        <f>ROUND(9.08595,2)</f>
        <v>9.09</v>
      </c>
      <c r="K936" s="5">
        <f>ROUND(878201.59,0)</f>
        <v>878202</v>
      </c>
      <c r="L936" s="7">
        <f>ROUND(0.000305212529804193,4)</f>
        <v>2.9999999999999997E-4</v>
      </c>
    </row>
    <row r="937" spans="1:12">
      <c r="A937" s="3" t="s">
        <v>1968</v>
      </c>
      <c r="B937" s="4" t="s">
        <v>1969</v>
      </c>
      <c r="C937" s="4" t="s">
        <v>389</v>
      </c>
      <c r="D937" s="4" t="s">
        <v>407</v>
      </c>
      <c r="E937" s="4" t="s">
        <v>35</v>
      </c>
      <c r="F937" s="4" t="s">
        <v>21</v>
      </c>
      <c r="G937" s="4" t="s">
        <v>408</v>
      </c>
      <c r="H937" s="5">
        <f>ROUND(1400,0)</f>
        <v>1400</v>
      </c>
      <c r="I937" s="6">
        <f>ROUND(68.99,2)</f>
        <v>68.989999999999995</v>
      </c>
      <c r="J937" s="6">
        <f>ROUND(9.08595,2)</f>
        <v>9.09</v>
      </c>
      <c r="K937" s="5">
        <f>ROUND(877575.57,0)</f>
        <v>877576</v>
      </c>
      <c r="L937" s="7">
        <f>ROUND(0.000304994961138771,4)</f>
        <v>2.9999999999999997E-4</v>
      </c>
    </row>
    <row r="938" spans="1:12">
      <c r="A938" s="3" t="s">
        <v>1970</v>
      </c>
      <c r="B938" s="4" t="s">
        <v>1971</v>
      </c>
      <c r="C938" s="4" t="s">
        <v>493</v>
      </c>
      <c r="D938" s="4" t="s">
        <v>552</v>
      </c>
      <c r="E938" s="4" t="s">
        <v>553</v>
      </c>
      <c r="F938" s="4" t="s">
        <v>26</v>
      </c>
      <c r="G938" s="4" t="s">
        <v>408</v>
      </c>
      <c r="H938" s="5">
        <f>ROUND(21000,0)</f>
        <v>21000</v>
      </c>
      <c r="I938" s="6">
        <f>ROUND(36.05,2)</f>
        <v>36.049999999999997</v>
      </c>
      <c r="J938" s="6">
        <f>ROUND(1.15901246,2)</f>
        <v>1.1599999999999999</v>
      </c>
      <c r="K938" s="5">
        <f>ROUND(877430.38,0)</f>
        <v>877430</v>
      </c>
      <c r="L938" s="7">
        <f>ROUND(0.000304944501417783,4)</f>
        <v>2.9999999999999997E-4</v>
      </c>
    </row>
    <row r="939" spans="1:12">
      <c r="A939" s="3" t="s">
        <v>1972</v>
      </c>
      <c r="B939" s="4" t="s">
        <v>1973</v>
      </c>
      <c r="C939" s="4" t="s">
        <v>566</v>
      </c>
      <c r="D939" s="4" t="s">
        <v>1119</v>
      </c>
      <c r="E939" s="4" t="s">
        <v>1120</v>
      </c>
      <c r="F939" s="4" t="s">
        <v>95</v>
      </c>
      <c r="G939" s="4" t="s">
        <v>408</v>
      </c>
      <c r="H939" s="5">
        <f>ROUND(66099,0)</f>
        <v>66099</v>
      </c>
      <c r="I939" s="6">
        <f>ROUND(28.84,2)</f>
        <v>28.84</v>
      </c>
      <c r="J939" s="6">
        <f>ROUND(0.4601869,2)</f>
        <v>0.46</v>
      </c>
      <c r="K939" s="5">
        <f>ROUND(877252.06,0)</f>
        <v>877252</v>
      </c>
      <c r="L939" s="7">
        <f>ROUND(0.000304882527607972,4)</f>
        <v>2.9999999999999997E-4</v>
      </c>
    </row>
    <row r="940" spans="1:12">
      <c r="A940" s="3" t="s">
        <v>1974</v>
      </c>
      <c r="B940" s="4" t="s">
        <v>1975</v>
      </c>
      <c r="C940" s="4" t="s">
        <v>430</v>
      </c>
      <c r="D940" s="4" t="s">
        <v>1111</v>
      </c>
      <c r="E940" s="4" t="s">
        <v>1112</v>
      </c>
      <c r="F940" s="4" t="s">
        <v>18</v>
      </c>
      <c r="G940" s="4" t="s">
        <v>408</v>
      </c>
      <c r="H940" s="5">
        <f>ROUND(2916,0)</f>
        <v>2916</v>
      </c>
      <c r="I940" s="6">
        <f>ROUND(30.37,2)</f>
        <v>30.37</v>
      </c>
      <c r="J940" s="6">
        <f>ROUND(9.9055,2)</f>
        <v>9.91</v>
      </c>
      <c r="K940" s="5">
        <f>ROUND(877220.38,0)</f>
        <v>877220</v>
      </c>
      <c r="L940" s="7">
        <f>ROUND(0.000304871517456027,4)</f>
        <v>2.9999999999999997E-4</v>
      </c>
    </row>
    <row r="941" spans="1:12">
      <c r="A941" s="3" t="s">
        <v>1976</v>
      </c>
      <c r="B941" s="4" t="s">
        <v>1977</v>
      </c>
      <c r="C941" s="4" t="s">
        <v>406</v>
      </c>
      <c r="D941" s="4" t="s">
        <v>407</v>
      </c>
      <c r="E941" s="4" t="s">
        <v>35</v>
      </c>
      <c r="F941" s="4" t="s">
        <v>21</v>
      </c>
      <c r="G941" s="4" t="s">
        <v>408</v>
      </c>
      <c r="H941" s="5">
        <f>ROUND(1000,0)</f>
        <v>1000</v>
      </c>
      <c r="I941" s="6">
        <f>ROUND(96.52,2)</f>
        <v>96.52</v>
      </c>
      <c r="J941" s="6">
        <f>ROUND(9.08595,2)</f>
        <v>9.09</v>
      </c>
      <c r="K941" s="5">
        <f>ROUND(876975.89,0)</f>
        <v>876976</v>
      </c>
      <c r="L941" s="7">
        <f>ROUND(0.000304786546747409,4)</f>
        <v>2.9999999999999997E-4</v>
      </c>
    </row>
    <row r="942" spans="1:12">
      <c r="A942" s="3" t="s">
        <v>1978</v>
      </c>
      <c r="B942" s="4" t="s">
        <v>1979</v>
      </c>
      <c r="C942" s="4" t="s">
        <v>389</v>
      </c>
      <c r="D942" s="4" t="s">
        <v>514</v>
      </c>
      <c r="E942" s="4" t="s">
        <v>515</v>
      </c>
      <c r="F942" s="4" t="s">
        <v>190</v>
      </c>
      <c r="G942" s="4" t="s">
        <v>408</v>
      </c>
      <c r="H942" s="5">
        <f>ROUND(1356,0)</f>
        <v>1356</v>
      </c>
      <c r="I942" s="6">
        <f>ROUND(94.2,2)</f>
        <v>94.2</v>
      </c>
      <c r="J942" s="6">
        <f>ROUND(6.86237833,2)</f>
        <v>6.86</v>
      </c>
      <c r="K942" s="5">
        <f>ROUND(876567.27,0)</f>
        <v>876567</v>
      </c>
      <c r="L942" s="7">
        <f>ROUND(0.000304644533859538,4)</f>
        <v>2.9999999999999997E-4</v>
      </c>
    </row>
    <row r="943" spans="1:12">
      <c r="A943" s="3" t="s">
        <v>1980</v>
      </c>
      <c r="B943" s="4" t="s">
        <v>1981</v>
      </c>
      <c r="C943" s="4" t="s">
        <v>430</v>
      </c>
      <c r="D943" s="4" t="s">
        <v>723</v>
      </c>
      <c r="E943" s="4" t="s">
        <v>724</v>
      </c>
      <c r="F943" s="4" t="s">
        <v>18</v>
      </c>
      <c r="G943" s="4" t="s">
        <v>408</v>
      </c>
      <c r="H943" s="5">
        <f>ROUND(6167,0)</f>
        <v>6167</v>
      </c>
      <c r="I943" s="6">
        <f>ROUND(14.34,2)</f>
        <v>14.34</v>
      </c>
      <c r="J943" s="6">
        <f>ROUND(9.9055,2)</f>
        <v>9.91</v>
      </c>
      <c r="K943" s="5">
        <f>ROUND(875990.71,0)</f>
        <v>875991</v>
      </c>
      <c r="L943" s="7">
        <f>ROUND(0.000304444154654823,4)</f>
        <v>2.9999999999999997E-4</v>
      </c>
    </row>
    <row r="944" spans="1:12">
      <c r="A944" s="3" t="s">
        <v>1982</v>
      </c>
      <c r="B944" s="4" t="s">
        <v>1983</v>
      </c>
      <c r="C944" s="4" t="s">
        <v>415</v>
      </c>
      <c r="D944" s="4" t="s">
        <v>1127</v>
      </c>
      <c r="E944" s="4" t="s">
        <v>1128</v>
      </c>
      <c r="F944" s="4" t="s">
        <v>20</v>
      </c>
      <c r="G944" s="4" t="s">
        <v>408</v>
      </c>
      <c r="H944" s="5">
        <f>ROUND(7685,0)</f>
        <v>7685</v>
      </c>
      <c r="I944" s="6">
        <f>ROUND(1018,2)</f>
        <v>1018</v>
      </c>
      <c r="J944" s="6">
        <f>ROUND(11.19645077,2)</f>
        <v>11.2</v>
      </c>
      <c r="K944" s="5">
        <f>ROUND(875935.29,0)</f>
        <v>875935</v>
      </c>
      <c r="L944" s="7">
        <f>ROUND(0.000304424893839773,4)</f>
        <v>2.9999999999999997E-4</v>
      </c>
    </row>
    <row r="945" spans="1:12">
      <c r="A945" s="3" t="s">
        <v>1984</v>
      </c>
      <c r="B945" s="4" t="s">
        <v>1985</v>
      </c>
      <c r="C945" s="4" t="s">
        <v>493</v>
      </c>
      <c r="D945" s="4" t="s">
        <v>514</v>
      </c>
      <c r="E945" s="4" t="s">
        <v>515</v>
      </c>
      <c r="F945" s="4" t="s">
        <v>190</v>
      </c>
      <c r="G945" s="4" t="s">
        <v>408</v>
      </c>
      <c r="H945" s="5">
        <f>ROUND(3261,0)</f>
        <v>3261</v>
      </c>
      <c r="I945" s="6">
        <f>ROUND(39.05,2)</f>
        <v>39.049999999999997</v>
      </c>
      <c r="J945" s="6">
        <f>ROUND(6.86237833,2)</f>
        <v>6.86</v>
      </c>
      <c r="K945" s="5">
        <f>ROUND(873869.32,0)</f>
        <v>873869</v>
      </c>
      <c r="L945" s="7">
        <f>ROUND(0.000303706881099441,4)</f>
        <v>2.9999999999999997E-4</v>
      </c>
    </row>
    <row r="946" spans="1:12">
      <c r="A946" s="3" t="s">
        <v>1986</v>
      </c>
      <c r="B946" s="4" t="s">
        <v>1987</v>
      </c>
      <c r="C946" s="4" t="s">
        <v>445</v>
      </c>
      <c r="D946" s="4" t="s">
        <v>407</v>
      </c>
      <c r="E946" s="4" t="s">
        <v>35</v>
      </c>
      <c r="F946" s="4" t="s">
        <v>21</v>
      </c>
      <c r="G946" s="4" t="s">
        <v>408</v>
      </c>
      <c r="H946" s="5">
        <f>ROUND(1900,0)</f>
        <v>1900</v>
      </c>
      <c r="I946" s="6">
        <f>ROUND(50.49,2)</f>
        <v>50.49</v>
      </c>
      <c r="J946" s="6">
        <f>ROUND(9.08595,2)</f>
        <v>9.09</v>
      </c>
      <c r="K946" s="5">
        <f>ROUND(871624.27,0)</f>
        <v>871624</v>
      </c>
      <c r="L946" s="7">
        <f>ROUND(0.000302926630416865,4)</f>
        <v>2.9999999999999997E-4</v>
      </c>
    </row>
    <row r="947" spans="1:12">
      <c r="A947" s="3" t="s">
        <v>1988</v>
      </c>
      <c r="B947" s="4" t="s">
        <v>1989</v>
      </c>
      <c r="C947" s="4" t="s">
        <v>400</v>
      </c>
      <c r="D947" s="4" t="s">
        <v>407</v>
      </c>
      <c r="E947" s="4" t="s">
        <v>35</v>
      </c>
      <c r="F947" s="4" t="s">
        <v>21</v>
      </c>
      <c r="G947" s="4" t="s">
        <v>408</v>
      </c>
      <c r="H947" s="5">
        <f>ROUND(600,0)</f>
        <v>600</v>
      </c>
      <c r="I947" s="6">
        <f>ROUND(159.88,2)</f>
        <v>159.88</v>
      </c>
      <c r="J947" s="6">
        <f>ROUND(9.08595,2)</f>
        <v>9.09</v>
      </c>
      <c r="K947" s="5">
        <f>ROUND(871597.01,0)</f>
        <v>871597</v>
      </c>
      <c r="L947" s="7">
        <f>ROUND(0.000302917156403544,4)</f>
        <v>2.9999999999999997E-4</v>
      </c>
    </row>
    <row r="948" spans="1:12">
      <c r="A948" s="3" t="s">
        <v>1990</v>
      </c>
      <c r="B948" s="4" t="s">
        <v>1991</v>
      </c>
      <c r="C948" s="4" t="s">
        <v>534</v>
      </c>
      <c r="D948" s="4" t="s">
        <v>407</v>
      </c>
      <c r="E948" s="4" t="s">
        <v>35</v>
      </c>
      <c r="F948" s="4" t="s">
        <v>21</v>
      </c>
      <c r="G948" s="4" t="s">
        <v>408</v>
      </c>
      <c r="H948" s="5">
        <f>ROUND(2300,0)</f>
        <v>2300</v>
      </c>
      <c r="I948" s="6">
        <f>ROUND(41.68,2)</f>
        <v>41.68</v>
      </c>
      <c r="J948" s="6">
        <f>ROUND(9.08595,2)</f>
        <v>9.09</v>
      </c>
      <c r="K948" s="5">
        <f>ROUND(871015.51,0)</f>
        <v>871016</v>
      </c>
      <c r="L948" s="7">
        <f>ROUND(0.000302715060338014,4)</f>
        <v>2.9999999999999997E-4</v>
      </c>
    </row>
    <row r="949" spans="1:12">
      <c r="A949" s="3" t="s">
        <v>1992</v>
      </c>
      <c r="B949" s="4" t="s">
        <v>1993</v>
      </c>
      <c r="C949" s="4" t="s">
        <v>389</v>
      </c>
      <c r="D949" s="4" t="s">
        <v>541</v>
      </c>
      <c r="E949" s="4" t="s">
        <v>542</v>
      </c>
      <c r="F949" s="4" t="s">
        <v>18</v>
      </c>
      <c r="G949" s="4" t="s">
        <v>408</v>
      </c>
      <c r="H949" s="5">
        <f>ROUND(746,0)</f>
        <v>746</v>
      </c>
      <c r="I949" s="6">
        <f>ROUND(117.7,2)</f>
        <v>117.7</v>
      </c>
      <c r="J949" s="6">
        <f>ROUND(9.9055,2)</f>
        <v>9.91</v>
      </c>
      <c r="K949" s="5">
        <f>ROUND(869744.5,0)</f>
        <v>869745</v>
      </c>
      <c r="L949" s="7">
        <f>ROUND(0.000302273330122624,4)</f>
        <v>2.9999999999999997E-4</v>
      </c>
    </row>
    <row r="950" spans="1:12">
      <c r="A950" s="3" t="s">
        <v>1994</v>
      </c>
      <c r="B950" s="4" t="s">
        <v>1995</v>
      </c>
      <c r="C950" s="4" t="s">
        <v>534</v>
      </c>
      <c r="D950" s="4" t="s">
        <v>407</v>
      </c>
      <c r="E950" s="4" t="s">
        <v>35</v>
      </c>
      <c r="F950" s="4" t="s">
        <v>21</v>
      </c>
      <c r="G950" s="4" t="s">
        <v>408</v>
      </c>
      <c r="H950" s="5">
        <f>ROUND(1334,0)</f>
        <v>1334</v>
      </c>
      <c r="I950" s="6">
        <f>ROUND(71.57,2)</f>
        <v>71.569999999999993</v>
      </c>
      <c r="J950" s="6">
        <f>ROUND(9.08595,2)</f>
        <v>9.09</v>
      </c>
      <c r="K950" s="5">
        <f>ROUND(867475.44,0)</f>
        <v>867475</v>
      </c>
      <c r="L950" s="7">
        <f>ROUND(0.00030148473494042,4)</f>
        <v>2.9999999999999997E-4</v>
      </c>
    </row>
    <row r="951" spans="1:12">
      <c r="A951" s="3" t="s">
        <v>1996</v>
      </c>
      <c r="B951" s="4" t="s">
        <v>1997</v>
      </c>
      <c r="C951" s="4" t="s">
        <v>534</v>
      </c>
      <c r="D951" s="4" t="s">
        <v>407</v>
      </c>
      <c r="E951" s="4" t="s">
        <v>35</v>
      </c>
      <c r="F951" s="4" t="s">
        <v>21</v>
      </c>
      <c r="G951" s="4" t="s">
        <v>408</v>
      </c>
      <c r="H951" s="5">
        <f>ROUND(1657,0)</f>
        <v>1657</v>
      </c>
      <c r="I951" s="6">
        <f>ROUND(57.6,2)</f>
        <v>57.6</v>
      </c>
      <c r="J951" s="6">
        <f>ROUND(9.08595,2)</f>
        <v>9.09</v>
      </c>
      <c r="K951" s="5">
        <f>ROUND(867192.14,0)</f>
        <v>867192</v>
      </c>
      <c r="L951" s="7">
        <f>ROUND(0.000301386276100584,4)</f>
        <v>2.9999999999999997E-4</v>
      </c>
    </row>
    <row r="952" spans="1:12">
      <c r="A952" s="3" t="s">
        <v>1998</v>
      </c>
      <c r="B952" s="4" t="s">
        <v>1999</v>
      </c>
      <c r="C952" s="4" t="s">
        <v>415</v>
      </c>
      <c r="D952" s="4" t="s">
        <v>1724</v>
      </c>
      <c r="E952" s="4" t="s">
        <v>1725</v>
      </c>
      <c r="F952" s="4" t="s">
        <v>1726</v>
      </c>
      <c r="G952" s="4" t="s">
        <v>408</v>
      </c>
      <c r="H952" s="5">
        <f>ROUND(92800,0)</f>
        <v>92800</v>
      </c>
      <c r="I952" s="6">
        <f>ROUND(4.3,2)</f>
        <v>4.3</v>
      </c>
      <c r="J952" s="6">
        <f>ROUND(2.17002213,2)</f>
        <v>2.17</v>
      </c>
      <c r="K952" s="5">
        <f>ROUND(865925.63,0)</f>
        <v>865926</v>
      </c>
      <c r="L952" s="7">
        <f>ROUND(0.000300946109827232,4)</f>
        <v>2.9999999999999997E-4</v>
      </c>
    </row>
    <row r="953" spans="1:12">
      <c r="A953" s="3" t="s">
        <v>2000</v>
      </c>
      <c r="B953" s="4" t="s">
        <v>2001</v>
      </c>
      <c r="C953" s="4" t="s">
        <v>389</v>
      </c>
      <c r="D953" s="4" t="s">
        <v>407</v>
      </c>
      <c r="E953" s="4" t="s">
        <v>35</v>
      </c>
      <c r="F953" s="4" t="s">
        <v>21</v>
      </c>
      <c r="G953" s="4" t="s">
        <v>408</v>
      </c>
      <c r="H953" s="5">
        <f>ROUND(800,0)</f>
        <v>800</v>
      </c>
      <c r="I953" s="6">
        <f>ROUND(118.69,2)</f>
        <v>118.69</v>
      </c>
      <c r="J953" s="6">
        <f>ROUND(9.08595,2)</f>
        <v>9.09</v>
      </c>
      <c r="K953" s="5">
        <f>ROUND(862729.12,0)</f>
        <v>862729</v>
      </c>
      <c r="L953" s="7">
        <f>ROUND(0.000299835186191072,4)</f>
        <v>2.9999999999999997E-4</v>
      </c>
    </row>
    <row r="954" spans="1:12">
      <c r="A954" s="3" t="s">
        <v>2002</v>
      </c>
      <c r="B954" s="4" t="s">
        <v>2003</v>
      </c>
      <c r="C954" s="4" t="s">
        <v>400</v>
      </c>
      <c r="D954" s="4" t="s">
        <v>1024</v>
      </c>
      <c r="E954" s="4" t="s">
        <v>1025</v>
      </c>
      <c r="F954" s="4" t="s">
        <v>1026</v>
      </c>
      <c r="G954" s="4" t="s">
        <v>408</v>
      </c>
      <c r="H954" s="5">
        <f>ROUND(10308,0)</f>
        <v>10308</v>
      </c>
      <c r="I954" s="6">
        <f>ROUND(90.48,2)</f>
        <v>90.48</v>
      </c>
      <c r="J954" s="6">
        <f>ROUND(0.92410673,2)</f>
        <v>0.92</v>
      </c>
      <c r="K954" s="5">
        <f>ROUND(861884.63,0)</f>
        <v>861885</v>
      </c>
      <c r="L954" s="7">
        <f>ROUND(0.000299541689877436,4)</f>
        <v>2.9999999999999997E-4</v>
      </c>
    </row>
    <row r="955" spans="1:12">
      <c r="A955" s="3" t="s">
        <v>2004</v>
      </c>
      <c r="B955" s="4" t="s">
        <v>2005</v>
      </c>
      <c r="C955" s="4" t="s">
        <v>545</v>
      </c>
      <c r="D955" s="4" t="s">
        <v>489</v>
      </c>
      <c r="E955" s="4" t="s">
        <v>490</v>
      </c>
      <c r="F955" s="4" t="s">
        <v>45</v>
      </c>
      <c r="G955" s="4" t="s">
        <v>408</v>
      </c>
      <c r="H955" s="5">
        <f>ROUND(6800,0)</f>
        <v>6800</v>
      </c>
      <c r="I955" s="6">
        <f>ROUND(1505.5,2)</f>
        <v>1505.5</v>
      </c>
      <c r="J955" s="6">
        <f>ROUND(8.407077,2)</f>
        <v>8.41</v>
      </c>
      <c r="K955" s="5">
        <f>ROUND(860666.1,0)</f>
        <v>860666</v>
      </c>
      <c r="L955" s="7">
        <f>ROUND(0.000299118198701632,4)</f>
        <v>2.9999999999999997E-4</v>
      </c>
    </row>
    <row r="956" spans="1:12">
      <c r="A956" s="3" t="s">
        <v>2006</v>
      </c>
      <c r="B956" s="4" t="s">
        <v>2007</v>
      </c>
      <c r="C956" s="4" t="s">
        <v>415</v>
      </c>
      <c r="D956" s="4" t="s">
        <v>739</v>
      </c>
      <c r="E956" s="4" t="s">
        <v>740</v>
      </c>
      <c r="F956" s="4" t="s">
        <v>741</v>
      </c>
      <c r="G956" s="4" t="s">
        <v>408</v>
      </c>
      <c r="H956" s="5">
        <f>ROUND(469,0)</f>
        <v>469</v>
      </c>
      <c r="I956" s="6">
        <f>ROUND(241500,2)</f>
        <v>241500</v>
      </c>
      <c r="J956" s="6">
        <f>ROUND(0.00759599,2)</f>
        <v>0.01</v>
      </c>
      <c r="K956" s="5">
        <f>ROUND(860348.41,0)</f>
        <v>860348</v>
      </c>
      <c r="L956" s="7">
        <f>ROUND(0.000299007787869201,4)</f>
        <v>2.9999999999999997E-4</v>
      </c>
    </row>
    <row r="957" spans="1:12">
      <c r="A957" s="3" t="s">
        <v>2008</v>
      </c>
      <c r="B957" s="4" t="s">
        <v>2009</v>
      </c>
      <c r="C957" s="4" t="s">
        <v>406</v>
      </c>
      <c r="D957" s="4" t="s">
        <v>407</v>
      </c>
      <c r="E957" s="4" t="s">
        <v>35</v>
      </c>
      <c r="F957" s="4" t="s">
        <v>21</v>
      </c>
      <c r="G957" s="4" t="s">
        <v>408</v>
      </c>
      <c r="H957" s="5">
        <f>ROUND(1800,0)</f>
        <v>1800</v>
      </c>
      <c r="I957" s="6">
        <f>ROUND(52.51,2)</f>
        <v>52.51</v>
      </c>
      <c r="J957" s="6">
        <f>ROUND(9.08595,2)</f>
        <v>9.09</v>
      </c>
      <c r="K957" s="5">
        <f>ROUND(858785.82,0)</f>
        <v>858786</v>
      </c>
      <c r="L957" s="7">
        <f>ROUND(0.000298464721160626,4)</f>
        <v>2.9999999999999997E-4</v>
      </c>
    </row>
    <row r="958" spans="1:12">
      <c r="A958" s="3" t="s">
        <v>2010</v>
      </c>
      <c r="B958" s="4" t="s">
        <v>2011</v>
      </c>
      <c r="C958" s="4" t="s">
        <v>406</v>
      </c>
      <c r="D958" s="4" t="s">
        <v>407</v>
      </c>
      <c r="E958" s="4" t="s">
        <v>35</v>
      </c>
      <c r="F958" s="4" t="s">
        <v>21</v>
      </c>
      <c r="G958" s="4" t="s">
        <v>408</v>
      </c>
      <c r="H958" s="5">
        <f>ROUND(451,0)</f>
        <v>451</v>
      </c>
      <c r="I958" s="6">
        <f>ROUND(209.49,2)</f>
        <v>209.49</v>
      </c>
      <c r="J958" s="6">
        <f>ROUND(9.08595,2)</f>
        <v>9.09</v>
      </c>
      <c r="K958" s="5">
        <f>ROUND(858440.47,0)</f>
        <v>858440</v>
      </c>
      <c r="L958" s="7">
        <f>ROUND(0.000298344697297805,4)</f>
        <v>2.9999999999999997E-4</v>
      </c>
    </row>
    <row r="959" spans="1:12">
      <c r="A959" s="3" t="s">
        <v>2012</v>
      </c>
      <c r="B959" s="4" t="s">
        <v>2013</v>
      </c>
      <c r="C959" s="4" t="s">
        <v>400</v>
      </c>
      <c r="D959" s="4" t="s">
        <v>771</v>
      </c>
      <c r="E959" s="4" t="s">
        <v>772</v>
      </c>
      <c r="F959" s="4" t="s">
        <v>18</v>
      </c>
      <c r="G959" s="4" t="s">
        <v>408</v>
      </c>
      <c r="H959" s="5">
        <f>ROUND(8637,0)</f>
        <v>8637</v>
      </c>
      <c r="I959" s="6">
        <f>ROUND(10.02,2)</f>
        <v>10.02</v>
      </c>
      <c r="J959" s="6">
        <f>ROUND(9.9055,2)</f>
        <v>9.91</v>
      </c>
      <c r="K959" s="5">
        <f>ROUND(857249.11,0)</f>
        <v>857249</v>
      </c>
      <c r="L959" s="7">
        <f>ROUND(0.000297930648856481,4)</f>
        <v>2.9999999999999997E-4</v>
      </c>
    </row>
    <row r="960" spans="1:12">
      <c r="A960" s="3" t="s">
        <v>2014</v>
      </c>
      <c r="B960" s="4" t="s">
        <v>2015</v>
      </c>
      <c r="C960" s="4" t="s">
        <v>566</v>
      </c>
      <c r="D960" s="4" t="s">
        <v>520</v>
      </c>
      <c r="E960" s="4" t="s">
        <v>2016</v>
      </c>
      <c r="F960" s="4" t="s">
        <v>18</v>
      </c>
      <c r="G960" s="4" t="s">
        <v>408</v>
      </c>
      <c r="H960" s="5">
        <f>ROUND(646,0)</f>
        <v>646</v>
      </c>
      <c r="I960" s="6">
        <f>ROUND(133.75,2)</f>
        <v>133.75</v>
      </c>
      <c r="J960" s="6">
        <f>ROUND(9.9055,2)</f>
        <v>9.91</v>
      </c>
      <c r="K960" s="5">
        <f>ROUND(855859.96,0)</f>
        <v>855860</v>
      </c>
      <c r="L960" s="7">
        <f>ROUND(0.000297447859949463,4)</f>
        <v>2.9999999999999997E-4</v>
      </c>
    </row>
    <row r="961" spans="1:12">
      <c r="A961" s="3" t="s">
        <v>2017</v>
      </c>
      <c r="B961" s="4" t="s">
        <v>2018</v>
      </c>
      <c r="C961" s="4" t="s">
        <v>406</v>
      </c>
      <c r="D961" s="4" t="s">
        <v>401</v>
      </c>
      <c r="E961" s="4" t="s">
        <v>402</v>
      </c>
      <c r="F961" s="4" t="s">
        <v>403</v>
      </c>
      <c r="G961" s="4" t="s">
        <v>408</v>
      </c>
      <c r="H961" s="5">
        <f>ROUND(218000,0)</f>
        <v>218000</v>
      </c>
      <c r="I961" s="6">
        <f>ROUND(13.4,2)</f>
        <v>13.4</v>
      </c>
      <c r="J961" s="6">
        <f>ROUND(0.29286371,2)</f>
        <v>0.28999999999999998</v>
      </c>
      <c r="K961" s="5">
        <f>ROUND(855513.47,0)</f>
        <v>855513</v>
      </c>
      <c r="L961" s="7">
        <f>ROUND(0.000297327439887992,4)</f>
        <v>2.9999999999999997E-4</v>
      </c>
    </row>
    <row r="962" spans="1:12">
      <c r="A962" s="3" t="s">
        <v>2019</v>
      </c>
      <c r="B962" s="4" t="s">
        <v>2020</v>
      </c>
      <c r="C962" s="4" t="s">
        <v>493</v>
      </c>
      <c r="D962" s="4" t="s">
        <v>1111</v>
      </c>
      <c r="E962" s="4" t="s">
        <v>1112</v>
      </c>
      <c r="F962" s="4" t="s">
        <v>18</v>
      </c>
      <c r="G962" s="4" t="s">
        <v>408</v>
      </c>
      <c r="H962" s="5">
        <f>ROUND(3974,0)</f>
        <v>3974</v>
      </c>
      <c r="I962" s="6">
        <f>ROUND(21.69,2)</f>
        <v>21.69</v>
      </c>
      <c r="J962" s="6">
        <f>ROUND(9.9055,2)</f>
        <v>9.91</v>
      </c>
      <c r="K962" s="5">
        <f>ROUND(853815.07,0)</f>
        <v>853815</v>
      </c>
      <c r="L962" s="7">
        <f>ROUND(0.000296737173408721,4)</f>
        <v>2.9999999999999997E-4</v>
      </c>
    </row>
    <row r="963" spans="1:12">
      <c r="A963" s="3" t="s">
        <v>2021</v>
      </c>
      <c r="B963" s="4" t="s">
        <v>2022</v>
      </c>
      <c r="C963" s="4" t="s">
        <v>430</v>
      </c>
      <c r="D963" s="4" t="s">
        <v>766</v>
      </c>
      <c r="E963" s="4" t="s">
        <v>767</v>
      </c>
      <c r="F963" s="4" t="s">
        <v>768</v>
      </c>
      <c r="G963" s="4" t="s">
        <v>408</v>
      </c>
      <c r="H963" s="5">
        <f>ROUND(41200,0)</f>
        <v>41200</v>
      </c>
      <c r="I963" s="6">
        <f>ROUND(69.75,2)</f>
        <v>69.75</v>
      </c>
      <c r="J963" s="6">
        <f>ROUND(0.29707172,2)</f>
        <v>0.3</v>
      </c>
      <c r="K963" s="5">
        <f>ROUND(853695,0)</f>
        <v>853695</v>
      </c>
      <c r="L963" s="7">
        <f>ROUND(0.00029669544395973,4)</f>
        <v>2.9999999999999997E-4</v>
      </c>
    </row>
    <row r="964" spans="1:12">
      <c r="A964" s="3" t="s">
        <v>2023</v>
      </c>
      <c r="B964" s="4" t="s">
        <v>2024</v>
      </c>
      <c r="C964" s="4" t="s">
        <v>534</v>
      </c>
      <c r="D964" s="4" t="s">
        <v>489</v>
      </c>
      <c r="E964" s="4" t="s">
        <v>490</v>
      </c>
      <c r="F964" s="4" t="s">
        <v>45</v>
      </c>
      <c r="G964" s="4" t="s">
        <v>408</v>
      </c>
      <c r="H964" s="5">
        <f>ROUND(1800,0)</f>
        <v>1800</v>
      </c>
      <c r="I964" s="6">
        <f>ROUND(5630,2)</f>
        <v>5630</v>
      </c>
      <c r="J964" s="6">
        <f>ROUND(8.407077,2)</f>
        <v>8.41</v>
      </c>
      <c r="K964" s="5">
        <f>ROUND(851973.18,0)</f>
        <v>851973</v>
      </c>
      <c r="L964" s="7">
        <f>ROUND(0.00029609703803101,4)</f>
        <v>2.9999999999999997E-4</v>
      </c>
    </row>
    <row r="965" spans="1:12">
      <c r="A965" s="3" t="s">
        <v>2025</v>
      </c>
      <c r="B965" s="4" t="s">
        <v>2026</v>
      </c>
      <c r="C965" s="4" t="s">
        <v>400</v>
      </c>
      <c r="D965" s="4" t="s">
        <v>401</v>
      </c>
      <c r="E965" s="4" t="s">
        <v>402</v>
      </c>
      <c r="F965" s="4" t="s">
        <v>403</v>
      </c>
      <c r="G965" s="4" t="s">
        <v>408</v>
      </c>
      <c r="H965" s="5">
        <f>ROUND(71000,0)</f>
        <v>71000</v>
      </c>
      <c r="I965" s="6">
        <f>ROUND(40.9,2)</f>
        <v>40.9</v>
      </c>
      <c r="J965" s="6">
        <f>ROUND(0.29286371,2)</f>
        <v>0.28999999999999998</v>
      </c>
      <c r="K965" s="5">
        <f>ROUND(850446.93,0)</f>
        <v>850447</v>
      </c>
      <c r="L965" s="7">
        <f>ROUND(0.000295566601023245,4)</f>
        <v>2.9999999999999997E-4</v>
      </c>
    </row>
    <row r="966" spans="1:12">
      <c r="A966" s="3" t="s">
        <v>2027</v>
      </c>
      <c r="B966" s="4" t="s">
        <v>2028</v>
      </c>
      <c r="C966" s="4" t="s">
        <v>422</v>
      </c>
      <c r="D966" s="4" t="s">
        <v>1059</v>
      </c>
      <c r="E966" s="4" t="s">
        <v>1060</v>
      </c>
      <c r="F966" s="4" t="s">
        <v>279</v>
      </c>
      <c r="G966" s="4" t="s">
        <v>408</v>
      </c>
      <c r="H966" s="5">
        <f>ROUND(4050,0)</f>
        <v>4050</v>
      </c>
      <c r="I966" s="6">
        <f>ROUND(209.9,2)</f>
        <v>209.9</v>
      </c>
      <c r="J966" s="6">
        <f>ROUND(1,2)</f>
        <v>1</v>
      </c>
      <c r="K966" s="5">
        <f>ROUND(850095,0)</f>
        <v>850095</v>
      </c>
      <c r="L966" s="7">
        <f>ROUND(0.000295444290329622,4)</f>
        <v>2.9999999999999997E-4</v>
      </c>
    </row>
    <row r="967" spans="1:12">
      <c r="A967" s="3" t="s">
        <v>2029</v>
      </c>
      <c r="B967" s="4" t="s">
        <v>2030</v>
      </c>
      <c r="C967" s="4" t="s">
        <v>445</v>
      </c>
      <c r="D967" s="4" t="s">
        <v>489</v>
      </c>
      <c r="E967" s="4" t="s">
        <v>490</v>
      </c>
      <c r="F967" s="4" t="s">
        <v>45</v>
      </c>
      <c r="G967" s="4" t="s">
        <v>408</v>
      </c>
      <c r="H967" s="5">
        <f>ROUND(2500,0)</f>
        <v>2500</v>
      </c>
      <c r="I967" s="6">
        <f>ROUND(4040,2)</f>
        <v>4040</v>
      </c>
      <c r="J967" s="6">
        <f>ROUND(8.407077,2)</f>
        <v>8.41</v>
      </c>
      <c r="K967" s="5">
        <f>ROUND(849114.78,0)</f>
        <v>849115</v>
      </c>
      <c r="L967" s="7">
        <f>ROUND(0.000295103622048704,4)</f>
        <v>2.9999999999999997E-4</v>
      </c>
    </row>
    <row r="968" spans="1:12">
      <c r="A968" s="3" t="s">
        <v>2031</v>
      </c>
      <c r="B968" s="4" t="s">
        <v>2032</v>
      </c>
      <c r="C968" s="4" t="s">
        <v>389</v>
      </c>
      <c r="D968" s="4" t="s">
        <v>739</v>
      </c>
      <c r="E968" s="4" t="s">
        <v>740</v>
      </c>
      <c r="F968" s="4" t="s">
        <v>741</v>
      </c>
      <c r="G968" s="4" t="s">
        <v>408</v>
      </c>
      <c r="H968" s="5">
        <f>ROUND(1321,0)</f>
        <v>1321</v>
      </c>
      <c r="I968" s="6">
        <f>ROUND(84600,2)</f>
        <v>84600</v>
      </c>
      <c r="J968" s="6">
        <f>ROUND(0.00759599,2)</f>
        <v>0.01</v>
      </c>
      <c r="K968" s="5">
        <f>ROUND(848902.02,0)</f>
        <v>848902</v>
      </c>
      <c r="L968" s="7">
        <f>ROUND(0.000295029678869165,4)</f>
        <v>2.9999999999999997E-4</v>
      </c>
    </row>
    <row r="969" spans="1:12">
      <c r="A969" s="3" t="s">
        <v>2033</v>
      </c>
      <c r="B969" s="4" t="s">
        <v>2034</v>
      </c>
      <c r="C969" s="4" t="s">
        <v>534</v>
      </c>
      <c r="D969" s="4" t="s">
        <v>723</v>
      </c>
      <c r="E969" s="4" t="s">
        <v>724</v>
      </c>
      <c r="F969" s="4" t="s">
        <v>18</v>
      </c>
      <c r="G969" s="4" t="s">
        <v>408</v>
      </c>
      <c r="H969" s="5">
        <f>ROUND(3232,0)</f>
        <v>3232</v>
      </c>
      <c r="I969" s="6">
        <f>ROUND(26.51,2)</f>
        <v>26.51</v>
      </c>
      <c r="J969" s="6">
        <f>ROUND(9.9055,2)</f>
        <v>9.91</v>
      </c>
      <c r="K969" s="5">
        <f>ROUND(848706.41,0)</f>
        <v>848706</v>
      </c>
      <c r="L969" s="7">
        <f>ROUND(0.000294961696046502,4)</f>
        <v>2.9999999999999997E-4</v>
      </c>
    </row>
    <row r="970" spans="1:12">
      <c r="A970" s="3" t="s">
        <v>2035</v>
      </c>
      <c r="B970" s="4" t="s">
        <v>2036</v>
      </c>
      <c r="C970" s="4" t="s">
        <v>389</v>
      </c>
      <c r="D970" s="4" t="s">
        <v>489</v>
      </c>
      <c r="E970" s="4" t="s">
        <v>490</v>
      </c>
      <c r="F970" s="4" t="s">
        <v>45</v>
      </c>
      <c r="G970" s="4" t="s">
        <v>408</v>
      </c>
      <c r="H970" s="5">
        <f>ROUND(1500,0)</f>
        <v>1500</v>
      </c>
      <c r="I970" s="6">
        <f>ROUND(6730,2)</f>
        <v>6730</v>
      </c>
      <c r="J970" s="6">
        <f>ROUND(8.407077,2)</f>
        <v>8.41</v>
      </c>
      <c r="K970" s="5">
        <f>ROUND(848694.42,0)</f>
        <v>848694</v>
      </c>
      <c r="L970" s="7">
        <f>ROUND(0.000294957529009829,4)</f>
        <v>2.9999999999999997E-4</v>
      </c>
    </row>
    <row r="971" spans="1:12">
      <c r="A971" s="3" t="s">
        <v>2037</v>
      </c>
      <c r="B971" s="4" t="s">
        <v>2038</v>
      </c>
      <c r="C971" s="4" t="s">
        <v>389</v>
      </c>
      <c r="D971" s="4" t="s">
        <v>541</v>
      </c>
      <c r="E971" s="4" t="s">
        <v>542</v>
      </c>
      <c r="F971" s="4" t="s">
        <v>18</v>
      </c>
      <c r="G971" s="4" t="s">
        <v>408</v>
      </c>
      <c r="H971" s="5">
        <f>ROUND(1435,0)</f>
        <v>1435</v>
      </c>
      <c r="I971" s="6">
        <f>ROUND(59.7,2)</f>
        <v>59.7</v>
      </c>
      <c r="J971" s="6">
        <f>ROUND(9.9055,2)</f>
        <v>9.91</v>
      </c>
      <c r="K971" s="5">
        <f>ROUND(848599.23,0)</f>
        <v>848599</v>
      </c>
      <c r="L971" s="7">
        <f>ROUND(0.000294924446422592,4)</f>
        <v>2.9999999999999997E-4</v>
      </c>
    </row>
    <row r="972" spans="1:12">
      <c r="A972" s="3" t="s">
        <v>2039</v>
      </c>
      <c r="B972" s="4" t="s">
        <v>2040</v>
      </c>
      <c r="C972" s="4" t="s">
        <v>422</v>
      </c>
      <c r="D972" s="4" t="s">
        <v>1024</v>
      </c>
      <c r="E972" s="4" t="s">
        <v>1025</v>
      </c>
      <c r="F972" s="4" t="s">
        <v>1026</v>
      </c>
      <c r="G972" s="4" t="s">
        <v>408</v>
      </c>
      <c r="H972" s="5">
        <f>ROUND(3196,0)</f>
        <v>3196</v>
      </c>
      <c r="I972" s="6">
        <f>ROUND(287.3,2)</f>
        <v>287.3</v>
      </c>
      <c r="J972" s="6">
        <f>ROUND(0.92410673,2)</f>
        <v>0.92</v>
      </c>
      <c r="K972" s="5">
        <f>ROUND(848524.78,0)</f>
        <v>848525</v>
      </c>
      <c r="L972" s="7">
        <f>ROUND(0.000294898571870436,4)</f>
        <v>2.9999999999999997E-4</v>
      </c>
    </row>
    <row r="973" spans="1:12">
      <c r="A973" s="3" t="s">
        <v>2041</v>
      </c>
      <c r="B973" s="4" t="s">
        <v>2042</v>
      </c>
      <c r="C973" s="4" t="s">
        <v>389</v>
      </c>
      <c r="D973" s="4" t="s">
        <v>489</v>
      </c>
      <c r="E973" s="4" t="s">
        <v>490</v>
      </c>
      <c r="F973" s="4" t="s">
        <v>45</v>
      </c>
      <c r="G973" s="4" t="s">
        <v>408</v>
      </c>
      <c r="H973" s="5">
        <f>ROUND(2200,0)</f>
        <v>2200</v>
      </c>
      <c r="I973" s="6">
        <f>ROUND(4587,2)</f>
        <v>4587</v>
      </c>
      <c r="J973" s="6">
        <f>ROUND(8.407077,2)</f>
        <v>8.41</v>
      </c>
      <c r="K973" s="5">
        <f>ROUND(848391.77,0)</f>
        <v>848392</v>
      </c>
      <c r="L973" s="7">
        <f>ROUND(0.000294852345219231,4)</f>
        <v>2.9999999999999997E-4</v>
      </c>
    </row>
    <row r="974" spans="1:12">
      <c r="A974" s="3" t="s">
        <v>2043</v>
      </c>
      <c r="B974" s="4" t="s">
        <v>2044</v>
      </c>
      <c r="C974" s="4" t="s">
        <v>400</v>
      </c>
      <c r="D974" s="4" t="s">
        <v>766</v>
      </c>
      <c r="E974" s="4" t="s">
        <v>767</v>
      </c>
      <c r="F974" s="4" t="s">
        <v>768</v>
      </c>
      <c r="G974" s="4" t="s">
        <v>408</v>
      </c>
      <c r="H974" s="5">
        <f>ROUND(24200,0)</f>
        <v>24200</v>
      </c>
      <c r="I974" s="6">
        <f>ROUND(118,2)</f>
        <v>118</v>
      </c>
      <c r="J974" s="6">
        <f>ROUND(0.29707172,2)</f>
        <v>0.3</v>
      </c>
      <c r="K974" s="5">
        <f>ROUND(848318,0)</f>
        <v>848318</v>
      </c>
      <c r="L974" s="7">
        <f>ROUND(0.000294826706996094,4)</f>
        <v>2.9999999999999997E-4</v>
      </c>
    </row>
    <row r="975" spans="1:12">
      <c r="A975" s="3" t="s">
        <v>2045</v>
      </c>
      <c r="B975" s="4" t="s">
        <v>2046</v>
      </c>
      <c r="C975" s="4" t="s">
        <v>389</v>
      </c>
      <c r="D975" s="4" t="s">
        <v>423</v>
      </c>
      <c r="E975" s="4" t="s">
        <v>25</v>
      </c>
      <c r="F975" s="4" t="s">
        <v>21</v>
      </c>
      <c r="G975" s="4" t="s">
        <v>408</v>
      </c>
      <c r="H975" s="5">
        <f>ROUND(1100,0)</f>
        <v>1100</v>
      </c>
      <c r="I975" s="6">
        <f>ROUND(84.69,2)</f>
        <v>84.69</v>
      </c>
      <c r="J975" s="6">
        <f>ROUND(9.08595,2)</f>
        <v>9.09</v>
      </c>
      <c r="K975" s="5">
        <f>ROUND(846438.02,0)</f>
        <v>846438</v>
      </c>
      <c r="L975" s="7">
        <f>ROUND(0.000294173333717891,4)</f>
        <v>2.9999999999999997E-4</v>
      </c>
    </row>
    <row r="976" spans="1:12">
      <c r="A976" s="3" t="s">
        <v>2047</v>
      </c>
      <c r="B976" s="4" t="s">
        <v>2048</v>
      </c>
      <c r="C976" s="4" t="s">
        <v>406</v>
      </c>
      <c r="D976" s="4" t="s">
        <v>407</v>
      </c>
      <c r="E976" s="4" t="s">
        <v>35</v>
      </c>
      <c r="F976" s="4" t="s">
        <v>21</v>
      </c>
      <c r="G976" s="4" t="s">
        <v>408</v>
      </c>
      <c r="H976" s="5">
        <f>ROUND(1895,0)</f>
        <v>1895</v>
      </c>
      <c r="I976" s="6">
        <f>ROUND(49.13,2)</f>
        <v>49.13</v>
      </c>
      <c r="J976" s="6">
        <f>ROUND(9.08595,2)</f>
        <v>9.09</v>
      </c>
      <c r="K976" s="5">
        <f>ROUND(845914.21,0)</f>
        <v>845914</v>
      </c>
      <c r="L976" s="7">
        <f>ROUND(0.000293991287389283,4)</f>
        <v>2.9999999999999997E-4</v>
      </c>
    </row>
    <row r="977" spans="1:12">
      <c r="A977" s="3" t="s">
        <v>2049</v>
      </c>
      <c r="B977" s="4" t="s">
        <v>2050</v>
      </c>
      <c r="C977" s="4" t="s">
        <v>430</v>
      </c>
      <c r="D977" s="4" t="s">
        <v>739</v>
      </c>
      <c r="E977" s="4" t="s">
        <v>740</v>
      </c>
      <c r="F977" s="4" t="s">
        <v>741</v>
      </c>
      <c r="G977" s="4" t="s">
        <v>408</v>
      </c>
      <c r="H977" s="5">
        <f>ROUND(669,0)</f>
        <v>669</v>
      </c>
      <c r="I977" s="6">
        <f>ROUND(166000,2)</f>
        <v>166000</v>
      </c>
      <c r="J977" s="6">
        <f>ROUND(0.00759599,2)</f>
        <v>0.01</v>
      </c>
      <c r="K977" s="5">
        <f>ROUND(843565.07,0)</f>
        <v>843565</v>
      </c>
      <c r="L977" s="7">
        <f>ROUND(0.000293174860989663,4)</f>
        <v>2.9999999999999997E-4</v>
      </c>
    </row>
    <row r="978" spans="1:12">
      <c r="A978" s="3" t="s">
        <v>2051</v>
      </c>
      <c r="B978" s="4" t="s">
        <v>2052</v>
      </c>
      <c r="C978" s="4" t="s">
        <v>445</v>
      </c>
      <c r="D978" s="4" t="s">
        <v>541</v>
      </c>
      <c r="E978" s="4" t="s">
        <v>542</v>
      </c>
      <c r="F978" s="4" t="s">
        <v>18</v>
      </c>
      <c r="G978" s="4" t="s">
        <v>408</v>
      </c>
      <c r="H978" s="5">
        <f>ROUND(2342,0)</f>
        <v>2342</v>
      </c>
      <c r="I978" s="6">
        <f>ROUND(36.095,2)</f>
        <v>36.1</v>
      </c>
      <c r="J978" s="6">
        <f>ROUND(9.9055,2)</f>
        <v>9.91</v>
      </c>
      <c r="K978" s="5">
        <f>ROUND(837356.39,0)</f>
        <v>837356</v>
      </c>
      <c r="L978" s="7">
        <f>ROUND(0.000291017079734058,4)</f>
        <v>2.9999999999999997E-4</v>
      </c>
    </row>
    <row r="979" spans="1:12">
      <c r="A979" s="3" t="s">
        <v>2053</v>
      </c>
      <c r="B979" s="4" t="s">
        <v>2054</v>
      </c>
      <c r="C979" s="4" t="s">
        <v>389</v>
      </c>
      <c r="D979" s="4" t="s">
        <v>407</v>
      </c>
      <c r="E979" s="4" t="s">
        <v>35</v>
      </c>
      <c r="F979" s="4" t="s">
        <v>21</v>
      </c>
      <c r="G979" s="4" t="s">
        <v>408</v>
      </c>
      <c r="H979" s="5">
        <f>ROUND(461,0)</f>
        <v>461</v>
      </c>
      <c r="I979" s="6">
        <f>ROUND(199.82,2)</f>
        <v>199.82</v>
      </c>
      <c r="J979" s="6">
        <f>ROUND(9.08595,2)</f>
        <v>9.09</v>
      </c>
      <c r="K979" s="5">
        <f>ROUND(836970.64,0)</f>
        <v>836971</v>
      </c>
      <c r="L979" s="7">
        <f>ROUND(0.000290883015147165,4)</f>
        <v>2.9999999999999997E-4</v>
      </c>
    </row>
    <row r="980" spans="1:12">
      <c r="A980" s="3" t="s">
        <v>2055</v>
      </c>
      <c r="B980" s="4" t="s">
        <v>2056</v>
      </c>
      <c r="C980" s="4" t="s">
        <v>445</v>
      </c>
      <c r="D980" s="4" t="s">
        <v>541</v>
      </c>
      <c r="E980" s="4" t="s">
        <v>542</v>
      </c>
      <c r="F980" s="4" t="s">
        <v>18</v>
      </c>
      <c r="G980" s="4" t="s">
        <v>408</v>
      </c>
      <c r="H980" s="5">
        <f>ROUND(1369,0)</f>
        <v>1369</v>
      </c>
      <c r="I980" s="6">
        <f>ROUND(61.7,2)</f>
        <v>61.7</v>
      </c>
      <c r="J980" s="6">
        <f>ROUND(9.9055,2)</f>
        <v>9.91</v>
      </c>
      <c r="K980" s="5">
        <f>ROUND(836690.84,0)</f>
        <v>836691</v>
      </c>
      <c r="L980" s="7">
        <f>ROUND(0.000290785772706692,4)</f>
        <v>2.9999999999999997E-4</v>
      </c>
    </row>
    <row r="981" spans="1:12">
      <c r="A981" s="3" t="s">
        <v>2057</v>
      </c>
      <c r="B981" s="4" t="s">
        <v>2058</v>
      </c>
      <c r="C981" s="4" t="s">
        <v>400</v>
      </c>
      <c r="D981" s="4" t="s">
        <v>407</v>
      </c>
      <c r="E981" s="4" t="s">
        <v>35</v>
      </c>
      <c r="F981" s="4" t="s">
        <v>21</v>
      </c>
      <c r="G981" s="4" t="s">
        <v>408</v>
      </c>
      <c r="H981" s="5">
        <f>ROUND(2600,0)</f>
        <v>2600</v>
      </c>
      <c r="I981" s="6">
        <f>ROUND(35.37,2)</f>
        <v>35.369999999999997</v>
      </c>
      <c r="J981" s="6">
        <f>ROUND(9.08595,2)</f>
        <v>9.09</v>
      </c>
      <c r="K981" s="5">
        <f>ROUND(835562.13,0)</f>
        <v>835562</v>
      </c>
      <c r="L981" s="7">
        <f>ROUND(0.000290393497813959,4)</f>
        <v>2.9999999999999997E-4</v>
      </c>
    </row>
    <row r="982" spans="1:12">
      <c r="A982" s="3" t="s">
        <v>2059</v>
      </c>
      <c r="B982" s="4" t="s">
        <v>2060</v>
      </c>
      <c r="C982" s="4" t="s">
        <v>445</v>
      </c>
      <c r="D982" s="4" t="s">
        <v>489</v>
      </c>
      <c r="E982" s="4" t="s">
        <v>490</v>
      </c>
      <c r="F982" s="4" t="s">
        <v>45</v>
      </c>
      <c r="G982" s="4" t="s">
        <v>408</v>
      </c>
      <c r="H982" s="5">
        <f>ROUND(3800,0)</f>
        <v>3800</v>
      </c>
      <c r="I982" s="6">
        <f>ROUND(2602,2)</f>
        <v>2602</v>
      </c>
      <c r="J982" s="6">
        <f>ROUND(8.407077,2)</f>
        <v>8.41</v>
      </c>
      <c r="K982" s="5">
        <f>ROUND(831258.15,0)</f>
        <v>831258</v>
      </c>
      <c r="L982" s="7">
        <f>ROUND(0.000288897681091483,4)</f>
        <v>2.9999999999999997E-4</v>
      </c>
    </row>
    <row r="983" spans="1:12">
      <c r="A983" s="3" t="s">
        <v>2061</v>
      </c>
      <c r="B983" s="4" t="s">
        <v>2062</v>
      </c>
      <c r="C983" s="4" t="s">
        <v>445</v>
      </c>
      <c r="D983" s="4" t="s">
        <v>2063</v>
      </c>
      <c r="E983" s="4" t="s">
        <v>2064</v>
      </c>
      <c r="F983" s="4" t="s">
        <v>2065</v>
      </c>
      <c r="G983" s="4" t="s">
        <v>408</v>
      </c>
      <c r="H983" s="5">
        <f>ROUND(5652,0)</f>
        <v>5652</v>
      </c>
      <c r="I983" s="6">
        <f>ROUND(4970,2)</f>
        <v>4970</v>
      </c>
      <c r="J983" s="6">
        <f>ROUND(0.02957175,2)</f>
        <v>0.03</v>
      </c>
      <c r="K983" s="5">
        <f>ROUND(830683.47,0)</f>
        <v>830683</v>
      </c>
      <c r="L983" s="7">
        <f>ROUND(0.000288697955266997,4)</f>
        <v>2.9999999999999997E-4</v>
      </c>
    </row>
    <row r="984" spans="1:12">
      <c r="A984" s="3" t="s">
        <v>2066</v>
      </c>
      <c r="B984" s="4" t="s">
        <v>2067</v>
      </c>
      <c r="C984" s="4" t="s">
        <v>545</v>
      </c>
      <c r="D984" s="4" t="s">
        <v>514</v>
      </c>
      <c r="E984" s="4" t="s">
        <v>515</v>
      </c>
      <c r="F984" s="4" t="s">
        <v>190</v>
      </c>
      <c r="G984" s="4" t="s">
        <v>408</v>
      </c>
      <c r="H984" s="5">
        <f>ROUND(2261,0)</f>
        <v>2261</v>
      </c>
      <c r="I984" s="6">
        <f>ROUND(53.44,2)</f>
        <v>53.44</v>
      </c>
      <c r="J984" s="6">
        <f>ROUND(6.86237833,2)</f>
        <v>6.86</v>
      </c>
      <c r="K984" s="5">
        <f>ROUND(829166.35,0)</f>
        <v>829166</v>
      </c>
      <c r="L984" s="7">
        <f>ROUND(0.000288170691323856,4)</f>
        <v>2.9999999999999997E-4</v>
      </c>
    </row>
    <row r="985" spans="1:12">
      <c r="A985" s="3" t="s">
        <v>2068</v>
      </c>
      <c r="B985" s="4" t="s">
        <v>2069</v>
      </c>
      <c r="C985" s="4" t="s">
        <v>445</v>
      </c>
      <c r="D985" s="4" t="s">
        <v>407</v>
      </c>
      <c r="E985" s="4" t="s">
        <v>35</v>
      </c>
      <c r="F985" s="4" t="s">
        <v>21</v>
      </c>
      <c r="G985" s="4" t="s">
        <v>408</v>
      </c>
      <c r="H985" s="5">
        <f>ROUND(850,0)</f>
        <v>850</v>
      </c>
      <c r="I985" s="6">
        <f>ROUND(107.03,2)</f>
        <v>107.03</v>
      </c>
      <c r="J985" s="6">
        <f>ROUND(9.08595,2)</f>
        <v>9.09</v>
      </c>
      <c r="K985" s="5">
        <f>ROUND(826598.84,0)</f>
        <v>826599</v>
      </c>
      <c r="L985" s="7">
        <f>ROUND(0.000287278372030289,4)</f>
        <v>2.9999999999999997E-4</v>
      </c>
    </row>
    <row r="986" spans="1:12">
      <c r="A986" s="3" t="s">
        <v>2070</v>
      </c>
      <c r="B986" s="4" t="s">
        <v>2071</v>
      </c>
      <c r="C986" s="4" t="s">
        <v>415</v>
      </c>
      <c r="D986" s="4" t="s">
        <v>836</v>
      </c>
      <c r="E986" s="4" t="s">
        <v>837</v>
      </c>
      <c r="F986" s="4" t="s">
        <v>21</v>
      </c>
      <c r="G986" s="4" t="s">
        <v>408</v>
      </c>
      <c r="H986" s="5">
        <f>ROUND(11200,0)</f>
        <v>11200</v>
      </c>
      <c r="I986" s="6">
        <f>ROUND(8.1,2)</f>
        <v>8.1</v>
      </c>
      <c r="J986" s="6">
        <f>ROUND(9.08595,2)</f>
        <v>9.09</v>
      </c>
      <c r="K986" s="5">
        <f>ROUND(824277.38,0)</f>
        <v>824277</v>
      </c>
      <c r="L986" s="7">
        <f>ROUND(0.000286471565611914,4)</f>
        <v>2.9999999999999997E-4</v>
      </c>
    </row>
    <row r="987" spans="1:12">
      <c r="A987" s="3" t="s">
        <v>2072</v>
      </c>
      <c r="B987" s="4" t="s">
        <v>2073</v>
      </c>
      <c r="C987" s="4" t="s">
        <v>400</v>
      </c>
      <c r="D987" s="4" t="s">
        <v>407</v>
      </c>
      <c r="E987" s="4" t="s">
        <v>35</v>
      </c>
      <c r="F987" s="4" t="s">
        <v>21</v>
      </c>
      <c r="G987" s="4" t="s">
        <v>408</v>
      </c>
      <c r="H987" s="5">
        <f>ROUND(1374,0)</f>
        <v>1374</v>
      </c>
      <c r="I987" s="6">
        <f>ROUND(65.99,2)</f>
        <v>65.989999999999995</v>
      </c>
      <c r="J987" s="6">
        <f>ROUND(9.08595,2)</f>
        <v>9.09</v>
      </c>
      <c r="K987" s="5">
        <f>ROUND(823825.45,0)</f>
        <v>823825</v>
      </c>
      <c r="L987" s="7">
        <f>ROUND(0.000286314500650788,4)</f>
        <v>2.9999999999999997E-4</v>
      </c>
    </row>
    <row r="988" spans="1:12">
      <c r="A988" s="3" t="s">
        <v>2074</v>
      </c>
      <c r="B988" s="4" t="s">
        <v>2075</v>
      </c>
      <c r="C988" s="4" t="s">
        <v>445</v>
      </c>
      <c r="D988" s="4" t="s">
        <v>407</v>
      </c>
      <c r="E988" s="4" t="s">
        <v>35</v>
      </c>
      <c r="F988" s="4" t="s">
        <v>21</v>
      </c>
      <c r="G988" s="4" t="s">
        <v>408</v>
      </c>
      <c r="H988" s="5">
        <f>ROUND(500,0)</f>
        <v>500</v>
      </c>
      <c r="I988" s="6">
        <f>ROUND(180.92,2)</f>
        <v>180.92</v>
      </c>
      <c r="J988" s="6">
        <f>ROUND(9.08595,2)</f>
        <v>9.09</v>
      </c>
      <c r="K988" s="5">
        <f>ROUND(821915.04,0)</f>
        <v>821915</v>
      </c>
      <c r="L988" s="7">
        <f>ROUND(0.000285650551648984,4)</f>
        <v>2.9999999999999997E-4</v>
      </c>
    </row>
    <row r="989" spans="1:12">
      <c r="A989" s="3" t="s">
        <v>2076</v>
      </c>
      <c r="B989" s="4" t="s">
        <v>2077</v>
      </c>
      <c r="C989" s="4" t="s">
        <v>400</v>
      </c>
      <c r="D989" s="4" t="s">
        <v>489</v>
      </c>
      <c r="E989" s="4" t="s">
        <v>490</v>
      </c>
      <c r="F989" s="4" t="s">
        <v>45</v>
      </c>
      <c r="G989" s="4" t="s">
        <v>408</v>
      </c>
      <c r="H989" s="5">
        <f>ROUND(6000,0)</f>
        <v>6000</v>
      </c>
      <c r="I989" s="6">
        <f>ROUND(1629,2)</f>
        <v>1629</v>
      </c>
      <c r="J989" s="6">
        <f>ROUND(8.407077,2)</f>
        <v>8.41</v>
      </c>
      <c r="K989" s="5">
        <f>ROUND(821707.71,0)</f>
        <v>821708</v>
      </c>
      <c r="L989" s="7">
        <f>ROUND(0.00028557849562617,4)</f>
        <v>2.9999999999999997E-4</v>
      </c>
    </row>
    <row r="990" spans="1:12">
      <c r="A990" s="3" t="s">
        <v>2078</v>
      </c>
      <c r="B990" s="4" t="s">
        <v>2079</v>
      </c>
      <c r="C990" s="4" t="s">
        <v>389</v>
      </c>
      <c r="D990" s="4" t="s">
        <v>489</v>
      </c>
      <c r="E990" s="4" t="s">
        <v>490</v>
      </c>
      <c r="F990" s="4" t="s">
        <v>45</v>
      </c>
      <c r="G990" s="4" t="s">
        <v>408</v>
      </c>
      <c r="H990" s="5">
        <f>ROUND(600,0)</f>
        <v>600</v>
      </c>
      <c r="I990" s="6">
        <f>ROUND(16280,2)</f>
        <v>16280</v>
      </c>
      <c r="J990" s="6">
        <f>ROUND(8.407077,2)</f>
        <v>8.41</v>
      </c>
      <c r="K990" s="5">
        <f>ROUND(821203.28,0)</f>
        <v>821203</v>
      </c>
      <c r="L990" s="7">
        <f>ROUND(0.000285403184674604,4)</f>
        <v>2.9999999999999997E-4</v>
      </c>
    </row>
    <row r="991" spans="1:12">
      <c r="A991" s="3" t="s">
        <v>2080</v>
      </c>
      <c r="B991" s="4" t="s">
        <v>2081</v>
      </c>
      <c r="C991" s="4" t="s">
        <v>400</v>
      </c>
      <c r="D991" s="4" t="s">
        <v>489</v>
      </c>
      <c r="E991" s="4" t="s">
        <v>490</v>
      </c>
      <c r="F991" s="4" t="s">
        <v>45</v>
      </c>
      <c r="G991" s="4" t="s">
        <v>408</v>
      </c>
      <c r="H991" s="5">
        <f>ROUND(21300,0)</f>
        <v>21300</v>
      </c>
      <c r="I991" s="6">
        <f>ROUND(457.9,2)</f>
        <v>457.9</v>
      </c>
      <c r="J991" s="6">
        <f>ROUND(8.407077,2)</f>
        <v>8.41</v>
      </c>
      <c r="K991" s="5">
        <f>ROUND(819964.92,0)</f>
        <v>819965</v>
      </c>
      <c r="L991" s="7">
        <f>ROUND(0.000284972801727554,4)</f>
        <v>2.9999999999999997E-4</v>
      </c>
    </row>
    <row r="992" spans="1:12">
      <c r="A992" s="3" t="s">
        <v>2082</v>
      </c>
      <c r="B992" s="4" t="s">
        <v>2083</v>
      </c>
      <c r="C992" s="4" t="s">
        <v>400</v>
      </c>
      <c r="D992" s="4" t="s">
        <v>1724</v>
      </c>
      <c r="E992" s="4" t="s">
        <v>1725</v>
      </c>
      <c r="F992" s="4" t="s">
        <v>1726</v>
      </c>
      <c r="G992" s="4" t="s">
        <v>408</v>
      </c>
      <c r="H992" s="5">
        <f>ROUND(75100,0)</f>
        <v>75100</v>
      </c>
      <c r="I992" s="6">
        <f>ROUND(5.03,2)</f>
        <v>5.03</v>
      </c>
      <c r="J992" s="6">
        <f>ROUND(2.17002213,2)</f>
        <v>2.17</v>
      </c>
      <c r="K992" s="5">
        <f>ROUND(819732.37,0)</f>
        <v>819732</v>
      </c>
      <c r="L992" s="7">
        <f>ROUND(0.000284891980678476,4)</f>
        <v>2.9999999999999997E-4</v>
      </c>
    </row>
    <row r="993" spans="1:12">
      <c r="A993" s="3" t="s">
        <v>2084</v>
      </c>
      <c r="B993" s="4" t="s">
        <v>2085</v>
      </c>
      <c r="C993" s="4" t="s">
        <v>415</v>
      </c>
      <c r="D993" s="4" t="s">
        <v>1059</v>
      </c>
      <c r="E993" s="4" t="s">
        <v>1060</v>
      </c>
      <c r="F993" s="4" t="s">
        <v>279</v>
      </c>
      <c r="G993" s="4" t="s">
        <v>408</v>
      </c>
      <c r="H993" s="5">
        <f>ROUND(4490,0)</f>
        <v>4490</v>
      </c>
      <c r="I993" s="6">
        <f>ROUND(182.55,2)</f>
        <v>182.55</v>
      </c>
      <c r="J993" s="6">
        <f>ROUND(1,2)</f>
        <v>1</v>
      </c>
      <c r="K993" s="5">
        <f>ROUND(819649.5,0)</f>
        <v>819650</v>
      </c>
      <c r="L993" s="7">
        <f>ROUND(0.000284863179816996,4)</f>
        <v>2.9999999999999997E-4</v>
      </c>
    </row>
    <row r="994" spans="1:12">
      <c r="A994" s="3" t="s">
        <v>2086</v>
      </c>
      <c r="B994" s="4" t="s">
        <v>2087</v>
      </c>
      <c r="C994" s="4" t="s">
        <v>400</v>
      </c>
      <c r="D994" s="4" t="s">
        <v>1111</v>
      </c>
      <c r="E994" s="4" t="s">
        <v>1112</v>
      </c>
      <c r="F994" s="4" t="s">
        <v>18</v>
      </c>
      <c r="G994" s="4" t="s">
        <v>408</v>
      </c>
      <c r="H994" s="5">
        <f>ROUND(2257,0)</f>
        <v>2257</v>
      </c>
      <c r="I994" s="6">
        <f>ROUND(36.48,2)</f>
        <v>36.479999999999997</v>
      </c>
      <c r="J994" s="6">
        <f>ROUND(9.9055,2)</f>
        <v>9.91</v>
      </c>
      <c r="K994" s="5">
        <f>ROUND(815572.91,0)</f>
        <v>815573</v>
      </c>
      <c r="L994" s="7">
        <f>ROUND(0.000283446390823396,4)</f>
        <v>2.9999999999999997E-4</v>
      </c>
    </row>
    <row r="995" spans="1:12">
      <c r="A995" s="3" t="s">
        <v>2088</v>
      </c>
      <c r="B995" s="4" t="s">
        <v>2089</v>
      </c>
      <c r="C995" s="4" t="s">
        <v>406</v>
      </c>
      <c r="D995" s="4" t="s">
        <v>401</v>
      </c>
      <c r="E995" s="4" t="s">
        <v>402</v>
      </c>
      <c r="F995" s="4" t="s">
        <v>403</v>
      </c>
      <c r="G995" s="4" t="s">
        <v>408</v>
      </c>
      <c r="H995" s="5">
        <f>ROUND(21000,0)</f>
        <v>21000</v>
      </c>
      <c r="I995" s="6">
        <f>ROUND(132.5,2)</f>
        <v>132.5</v>
      </c>
      <c r="J995" s="6">
        <f>ROUND(0.29286371,2)</f>
        <v>0.28999999999999998</v>
      </c>
      <c r="K995" s="5">
        <f>ROUND(814893.27,0)</f>
        <v>814893</v>
      </c>
      <c r="L995" s="7">
        <f>ROUND(0.000283210186919738,4)</f>
        <v>2.9999999999999997E-4</v>
      </c>
    </row>
    <row r="996" spans="1:12">
      <c r="A996" s="3" t="s">
        <v>2090</v>
      </c>
      <c r="B996" s="4" t="s">
        <v>2091</v>
      </c>
      <c r="C996" s="4" t="s">
        <v>534</v>
      </c>
      <c r="D996" s="4" t="s">
        <v>407</v>
      </c>
      <c r="E996" s="4" t="s">
        <v>35</v>
      </c>
      <c r="F996" s="4" t="s">
        <v>21</v>
      </c>
      <c r="G996" s="4" t="s">
        <v>408</v>
      </c>
      <c r="H996" s="5">
        <f>ROUND(900,0)</f>
        <v>900</v>
      </c>
      <c r="I996" s="6">
        <f>ROUND(99.56,2)</f>
        <v>99.56</v>
      </c>
      <c r="J996" s="6">
        <f>ROUND(9.08595,2)</f>
        <v>9.09</v>
      </c>
      <c r="K996" s="5">
        <f>ROUND(814137.46,0)</f>
        <v>814137</v>
      </c>
      <c r="L996" s="7">
        <f>ROUND(0.000282947510690524,4)</f>
        <v>2.9999999999999997E-4</v>
      </c>
    </row>
    <row r="997" spans="1:12">
      <c r="A997" s="3" t="s">
        <v>2092</v>
      </c>
      <c r="B997" s="4" t="s">
        <v>2093</v>
      </c>
      <c r="C997" s="4" t="s">
        <v>445</v>
      </c>
      <c r="D997" s="4" t="s">
        <v>520</v>
      </c>
      <c r="E997" s="4" t="s">
        <v>521</v>
      </c>
      <c r="F997" s="4" t="s">
        <v>18</v>
      </c>
      <c r="G997" s="4" t="s">
        <v>408</v>
      </c>
      <c r="H997" s="5">
        <f>ROUND(942,0)</f>
        <v>942</v>
      </c>
      <c r="I997" s="6">
        <f>ROUND(87.1,2)</f>
        <v>87.1</v>
      </c>
      <c r="J997" s="6">
        <f>ROUND(9.9055,2)</f>
        <v>9.91</v>
      </c>
      <c r="K997" s="5">
        <f>ROUND(812728.45,0)</f>
        <v>812728</v>
      </c>
      <c r="L997" s="7">
        <f>ROUND(0.00028245781958598,4)</f>
        <v>2.9999999999999997E-4</v>
      </c>
    </row>
    <row r="998" spans="1:12">
      <c r="A998" s="3" t="s">
        <v>2094</v>
      </c>
      <c r="B998" s="4" t="s">
        <v>2095</v>
      </c>
      <c r="C998" s="4" t="s">
        <v>445</v>
      </c>
      <c r="D998" s="4" t="s">
        <v>407</v>
      </c>
      <c r="E998" s="4" t="s">
        <v>35</v>
      </c>
      <c r="F998" s="4" t="s">
        <v>21</v>
      </c>
      <c r="G998" s="4" t="s">
        <v>408</v>
      </c>
      <c r="H998" s="5">
        <f>ROUND(300,0)</f>
        <v>300</v>
      </c>
      <c r="I998" s="6">
        <f>ROUND(297,2)</f>
        <v>297</v>
      </c>
      <c r="J998" s="6">
        <f>ROUND(9.08595,2)</f>
        <v>9.09</v>
      </c>
      <c r="K998" s="5">
        <f>ROUND(809558.15,0)</f>
        <v>809558</v>
      </c>
      <c r="L998" s="7">
        <f>ROUND(0.000281356005043332,4)</f>
        <v>2.9999999999999997E-4</v>
      </c>
    </row>
    <row r="999" spans="1:12">
      <c r="A999" s="3" t="s">
        <v>2096</v>
      </c>
      <c r="B999" s="4" t="s">
        <v>2097</v>
      </c>
      <c r="C999" s="4" t="s">
        <v>415</v>
      </c>
      <c r="D999" s="4" t="s">
        <v>395</v>
      </c>
      <c r="E999" s="4" t="s">
        <v>396</v>
      </c>
      <c r="F999" s="4" t="s">
        <v>397</v>
      </c>
      <c r="G999" s="4" t="s">
        <v>408</v>
      </c>
      <c r="H999" s="5">
        <f>ROUND(6753,0)</f>
        <v>6753</v>
      </c>
      <c r="I999" s="6">
        <f>ROUND(54.94,2)</f>
        <v>54.94</v>
      </c>
      <c r="J999" s="6">
        <f>ROUND(2.18129969,2)</f>
        <v>2.1800000000000002</v>
      </c>
      <c r="K999" s="5">
        <f>ROUND(809283.61,0)</f>
        <v>809284</v>
      </c>
      <c r="L999" s="7">
        <f>ROUND(0.00028126059067733,4)</f>
        <v>2.9999999999999997E-4</v>
      </c>
    </row>
    <row r="1000" spans="1:12">
      <c r="A1000" s="3" t="s">
        <v>2098</v>
      </c>
      <c r="B1000" s="4" t="s">
        <v>2099</v>
      </c>
      <c r="C1000" s="4" t="s">
        <v>415</v>
      </c>
      <c r="D1000" s="4" t="s">
        <v>407</v>
      </c>
      <c r="E1000" s="4" t="s">
        <v>35</v>
      </c>
      <c r="F1000" s="4" t="s">
        <v>21</v>
      </c>
      <c r="G1000" s="4" t="s">
        <v>408</v>
      </c>
      <c r="H1000" s="5">
        <f>ROUND(2200,0)</f>
        <v>2200</v>
      </c>
      <c r="I1000" s="6">
        <f>ROUND(40.37,2)</f>
        <v>40.369999999999997</v>
      </c>
      <c r="J1000" s="6">
        <f>ROUND(9.08595,2)</f>
        <v>9.09</v>
      </c>
      <c r="K1000" s="5">
        <f>ROUND(806959.56,0)</f>
        <v>806960</v>
      </c>
      <c r="L1000" s="7">
        <f>ROUND(0.000280452884123426,4)</f>
        <v>2.9999999999999997E-4</v>
      </c>
    </row>
    <row r="1001" spans="1:12">
      <c r="A1001" s="3" t="s">
        <v>2100</v>
      </c>
      <c r="B1001" s="4" t="s">
        <v>2101</v>
      </c>
      <c r="C1001" s="4" t="s">
        <v>389</v>
      </c>
      <c r="D1001" s="4" t="s">
        <v>456</v>
      </c>
      <c r="E1001" s="4" t="s">
        <v>457</v>
      </c>
      <c r="F1001" s="4" t="s">
        <v>21</v>
      </c>
      <c r="G1001" s="4" t="s">
        <v>408</v>
      </c>
      <c r="H1001" s="5">
        <f>ROUND(800,0)</f>
        <v>800</v>
      </c>
      <c r="I1001" s="6">
        <f>ROUND(110.76,2)</f>
        <v>110.76</v>
      </c>
      <c r="J1001" s="6">
        <f>ROUND(9.08595,2)</f>
        <v>9.09</v>
      </c>
      <c r="K1001" s="5">
        <f>ROUND(805087.86,0)</f>
        <v>805088</v>
      </c>
      <c r="L1001" s="7">
        <f>ROUND(0.000279802388498573,4)</f>
        <v>2.9999999999999997E-4</v>
      </c>
    </row>
    <row r="1002" spans="1:12">
      <c r="A1002" s="3" t="s">
        <v>2102</v>
      </c>
      <c r="B1002" s="4" t="s">
        <v>2103</v>
      </c>
      <c r="C1002" s="4" t="s">
        <v>400</v>
      </c>
      <c r="D1002" s="4" t="s">
        <v>407</v>
      </c>
      <c r="E1002" s="4" t="s">
        <v>35</v>
      </c>
      <c r="F1002" s="4" t="s">
        <v>21</v>
      </c>
      <c r="G1002" s="4" t="s">
        <v>408</v>
      </c>
      <c r="H1002" s="5">
        <f>ROUND(5600,0)</f>
        <v>5600</v>
      </c>
      <c r="I1002" s="6">
        <f>ROUND(15.82,2)</f>
        <v>15.82</v>
      </c>
      <c r="J1002" s="6">
        <f>ROUND(9.08595,2)</f>
        <v>9.09</v>
      </c>
      <c r="K1002" s="5">
        <f>ROUND(804942.48,0)</f>
        <v>804942</v>
      </c>
      <c r="L1002" s="7">
        <f>ROUND(0.000279751862744477,4)</f>
        <v>2.9999999999999997E-4</v>
      </c>
    </row>
    <row r="1003" spans="1:12">
      <c r="A1003" s="3" t="s">
        <v>2104</v>
      </c>
      <c r="B1003" s="4" t="s">
        <v>2105</v>
      </c>
      <c r="C1003" s="4" t="s">
        <v>400</v>
      </c>
      <c r="D1003" s="4" t="s">
        <v>407</v>
      </c>
      <c r="E1003" s="4" t="s">
        <v>35</v>
      </c>
      <c r="F1003" s="4" t="s">
        <v>21</v>
      </c>
      <c r="G1003" s="4" t="s">
        <v>408</v>
      </c>
      <c r="H1003" s="5">
        <f>ROUND(6200,0)</f>
        <v>6200</v>
      </c>
      <c r="I1003" s="6">
        <f>ROUND(14.27,2)</f>
        <v>14.27</v>
      </c>
      <c r="J1003" s="6">
        <f>ROUND(9.08595,2)</f>
        <v>9.09</v>
      </c>
      <c r="K1003" s="5">
        <f>ROUND(803870.34,0)</f>
        <v>803870</v>
      </c>
      <c r="L1003" s="7">
        <f>ROUND(0.00027937924834087,4)</f>
        <v>2.9999999999999997E-4</v>
      </c>
    </row>
    <row r="1004" spans="1:12">
      <c r="A1004" s="3" t="s">
        <v>2106</v>
      </c>
      <c r="B1004" s="4" t="s">
        <v>2107</v>
      </c>
      <c r="C1004" s="4" t="s">
        <v>406</v>
      </c>
      <c r="D1004" s="4" t="s">
        <v>1246</v>
      </c>
      <c r="E1004" s="4" t="s">
        <v>1247</v>
      </c>
      <c r="F1004" s="4" t="s">
        <v>21</v>
      </c>
      <c r="G1004" s="4" t="s">
        <v>408</v>
      </c>
      <c r="H1004" s="5">
        <f>ROUND(800,0)</f>
        <v>800</v>
      </c>
      <c r="I1004" s="6">
        <f>ROUND(109.5,2)</f>
        <v>109.5</v>
      </c>
      <c r="J1004" s="6">
        <f>ROUND(9.08595,2)</f>
        <v>9.09</v>
      </c>
      <c r="K1004" s="5">
        <f>ROUND(795929.22,0)</f>
        <v>795929</v>
      </c>
      <c r="L1004" s="7">
        <f>ROUND(0.000276619370253336,4)</f>
        <v>2.9999999999999997E-4</v>
      </c>
    </row>
    <row r="1005" spans="1:12">
      <c r="A1005" s="3" t="s">
        <v>2108</v>
      </c>
      <c r="B1005" s="4" t="s">
        <v>2109</v>
      </c>
      <c r="C1005" s="4" t="s">
        <v>406</v>
      </c>
      <c r="D1005" s="4" t="s">
        <v>401</v>
      </c>
      <c r="E1005" s="4" t="s">
        <v>402</v>
      </c>
      <c r="F1005" s="4" t="s">
        <v>403</v>
      </c>
      <c r="G1005" s="4" t="s">
        <v>408</v>
      </c>
      <c r="H1005" s="5">
        <f>ROUND(48000,0)</f>
        <v>48000</v>
      </c>
      <c r="I1005" s="6">
        <f>ROUND(56.6,2)</f>
        <v>56.6</v>
      </c>
      <c r="J1005" s="6">
        <f>ROUND(0.29286371,2)</f>
        <v>0.28999999999999998</v>
      </c>
      <c r="K1005" s="5">
        <f>ROUND(795652.13,0)</f>
        <v>795652</v>
      </c>
      <c r="L1005" s="7">
        <f>ROUND(0.000276523069653512,4)</f>
        <v>2.9999999999999997E-4</v>
      </c>
    </row>
    <row r="1006" spans="1:12">
      <c r="A1006" s="3" t="s">
        <v>2110</v>
      </c>
      <c r="B1006" s="4" t="s">
        <v>2111</v>
      </c>
      <c r="C1006" s="4" t="s">
        <v>400</v>
      </c>
      <c r="D1006" s="4" t="s">
        <v>623</v>
      </c>
      <c r="E1006" s="4" t="s">
        <v>624</v>
      </c>
      <c r="F1006" s="4" t="s">
        <v>18</v>
      </c>
      <c r="G1006" s="4" t="s">
        <v>408</v>
      </c>
      <c r="H1006" s="5">
        <f>ROUND(911,0)</f>
        <v>911</v>
      </c>
      <c r="I1006" s="6">
        <f>ROUND(88.1,2)</f>
        <v>88.1</v>
      </c>
      <c r="J1006" s="6">
        <f>ROUND(9.9055,2)</f>
        <v>9.91</v>
      </c>
      <c r="K1006" s="5">
        <f>ROUND(795006.52,0)</f>
        <v>795007</v>
      </c>
      <c r="L1006" s="7">
        <f>ROUND(0.000276298692627086,4)</f>
        <v>2.9999999999999997E-4</v>
      </c>
    </row>
    <row r="1007" spans="1:12">
      <c r="A1007" s="3" t="s">
        <v>2112</v>
      </c>
      <c r="B1007" s="4" t="s">
        <v>2113</v>
      </c>
      <c r="C1007" s="4" t="s">
        <v>406</v>
      </c>
      <c r="D1007" s="4" t="s">
        <v>407</v>
      </c>
      <c r="E1007" s="4" t="s">
        <v>35</v>
      </c>
      <c r="F1007" s="4" t="s">
        <v>21</v>
      </c>
      <c r="G1007" s="4" t="s">
        <v>408</v>
      </c>
      <c r="H1007" s="5">
        <f>ROUND(3700,0)</f>
        <v>3700</v>
      </c>
      <c r="I1007" s="6">
        <f>ROUND(23.63,2)</f>
        <v>23.63</v>
      </c>
      <c r="J1007" s="6">
        <f>ROUND(9.08595,2)</f>
        <v>9.09</v>
      </c>
      <c r="K1007" s="5">
        <f>ROUND(794393.69,0)</f>
        <v>794394</v>
      </c>
      <c r="L1007" s="7">
        <f>ROUND(0.000276085708049547,4)</f>
        <v>2.9999999999999997E-4</v>
      </c>
    </row>
    <row r="1008" spans="1:12">
      <c r="A1008" s="3" t="s">
        <v>2114</v>
      </c>
      <c r="B1008" s="4" t="s">
        <v>2115</v>
      </c>
      <c r="C1008" s="4" t="s">
        <v>400</v>
      </c>
      <c r="D1008" s="4" t="s">
        <v>739</v>
      </c>
      <c r="E1008" s="4" t="s">
        <v>740</v>
      </c>
      <c r="F1008" s="4" t="s">
        <v>741</v>
      </c>
      <c r="G1008" s="4" t="s">
        <v>408</v>
      </c>
      <c r="H1008" s="5">
        <f>ROUND(468,0)</f>
        <v>468</v>
      </c>
      <c r="I1008" s="6">
        <f>ROUND(223000,2)</f>
        <v>223000</v>
      </c>
      <c r="J1008" s="6">
        <f>ROUND(0.00759599,2)</f>
        <v>0.01</v>
      </c>
      <c r="K1008" s="5">
        <f>ROUND(792747.9,0)</f>
        <v>792748</v>
      </c>
      <c r="L1008" s="7">
        <f>ROUND(0.000275513725790409,4)</f>
        <v>2.9999999999999997E-4</v>
      </c>
    </row>
    <row r="1009" spans="1:12">
      <c r="A1009" s="3" t="s">
        <v>2116</v>
      </c>
      <c r="B1009" s="4" t="s">
        <v>2117</v>
      </c>
      <c r="C1009" s="4" t="s">
        <v>534</v>
      </c>
      <c r="D1009" s="4" t="s">
        <v>407</v>
      </c>
      <c r="E1009" s="4" t="s">
        <v>35</v>
      </c>
      <c r="F1009" s="4" t="s">
        <v>21</v>
      </c>
      <c r="G1009" s="4" t="s">
        <v>408</v>
      </c>
      <c r="H1009" s="5">
        <f>ROUND(1379,0)</f>
        <v>1379</v>
      </c>
      <c r="I1009" s="6">
        <f>ROUND(63.2,2)</f>
        <v>63.2</v>
      </c>
      <c r="J1009" s="6">
        <f>ROUND(9.08595,2)</f>
        <v>9.09</v>
      </c>
      <c r="K1009" s="5">
        <f>ROUND(791865.98,0)</f>
        <v>791866</v>
      </c>
      <c r="L1009" s="7">
        <f>ROUND(0.000275207220954447,4)</f>
        <v>2.9999999999999997E-4</v>
      </c>
    </row>
    <row r="1010" spans="1:12">
      <c r="A1010" s="3" t="s">
        <v>2118</v>
      </c>
      <c r="B1010" s="4" t="s">
        <v>2119</v>
      </c>
      <c r="C1010" s="4" t="s">
        <v>415</v>
      </c>
      <c r="D1010" s="4" t="s">
        <v>739</v>
      </c>
      <c r="E1010" s="4" t="s">
        <v>740</v>
      </c>
      <c r="F1010" s="4" t="s">
        <v>741</v>
      </c>
      <c r="G1010" s="4" t="s">
        <v>408</v>
      </c>
      <c r="H1010" s="5">
        <f>ROUND(200,0)</f>
        <v>200</v>
      </c>
      <c r="I1010" s="6">
        <f>ROUND(521000,2)</f>
        <v>521000</v>
      </c>
      <c r="J1010" s="6">
        <f>ROUND(0.00759599,2)</f>
        <v>0.01</v>
      </c>
      <c r="K1010" s="5">
        <f>ROUND(791502.16,0)</f>
        <v>791502</v>
      </c>
      <c r="L1010" s="7">
        <f>ROUND(0.000275080777978418,4)</f>
        <v>2.9999999999999997E-4</v>
      </c>
    </row>
    <row r="1011" spans="1:12">
      <c r="A1011" s="3" t="s">
        <v>2120</v>
      </c>
      <c r="B1011" s="4" t="s">
        <v>2121</v>
      </c>
      <c r="C1011" s="4" t="s">
        <v>389</v>
      </c>
      <c r="D1011" s="4" t="s">
        <v>552</v>
      </c>
      <c r="E1011" s="4" t="s">
        <v>553</v>
      </c>
      <c r="F1011" s="4" t="s">
        <v>26</v>
      </c>
      <c r="G1011" s="4" t="s">
        <v>408</v>
      </c>
      <c r="H1011" s="5">
        <f>ROUND(14000,0)</f>
        <v>14000</v>
      </c>
      <c r="I1011" s="6">
        <f>ROUND(48.75,2)</f>
        <v>48.75</v>
      </c>
      <c r="J1011" s="6">
        <f>ROUND(1.15901246,2)</f>
        <v>1.1599999999999999</v>
      </c>
      <c r="K1011" s="5">
        <f>ROUND(791026,0)</f>
        <v>791026</v>
      </c>
      <c r="L1011" s="7">
        <f>ROUND(0.000274915292058275,4)</f>
        <v>2.9999999999999997E-4</v>
      </c>
    </row>
    <row r="1012" spans="1:12">
      <c r="A1012" s="3" t="s">
        <v>2122</v>
      </c>
      <c r="B1012" s="4" t="s">
        <v>2123</v>
      </c>
      <c r="C1012" s="4" t="s">
        <v>389</v>
      </c>
      <c r="D1012" s="4" t="s">
        <v>789</v>
      </c>
      <c r="E1012" s="4" t="s">
        <v>790</v>
      </c>
      <c r="F1012" s="4" t="s">
        <v>791</v>
      </c>
      <c r="G1012" s="4" t="s">
        <v>408</v>
      </c>
      <c r="H1012" s="5">
        <f>ROUND(11258,0)</f>
        <v>11258</v>
      </c>
      <c r="I1012" s="6">
        <f>ROUND(547.15,2)</f>
        <v>547.15</v>
      </c>
      <c r="J1012" s="6">
        <f>ROUND(0.12820804,2)</f>
        <v>0.13</v>
      </c>
      <c r="K1012" s="5">
        <f>ROUND(789737.77,0)</f>
        <v>789738</v>
      </c>
      <c r="L1012" s="7">
        <f>ROUND(0.000274467577158021,4)</f>
        <v>2.9999999999999997E-4</v>
      </c>
    </row>
    <row r="1013" spans="1:12">
      <c r="A1013" s="3" t="s">
        <v>2124</v>
      </c>
      <c r="B1013" s="4" t="s">
        <v>2125</v>
      </c>
      <c r="C1013" s="4" t="s">
        <v>430</v>
      </c>
      <c r="D1013" s="4" t="s">
        <v>390</v>
      </c>
      <c r="E1013" s="4" t="s">
        <v>391</v>
      </c>
      <c r="F1013" s="4" t="s">
        <v>72</v>
      </c>
      <c r="G1013" s="4" t="s">
        <v>408</v>
      </c>
      <c r="H1013" s="5">
        <f>ROUND(16662,0)</f>
        <v>16662</v>
      </c>
      <c r="I1013" s="6">
        <f>ROUND(7.73,2)</f>
        <v>7.73</v>
      </c>
      <c r="J1013" s="6">
        <f>ROUND(6.12812423,2)</f>
        <v>6.13</v>
      </c>
      <c r="K1013" s="5">
        <f>ROUND(789285.61,0)</f>
        <v>789286</v>
      </c>
      <c r="L1013" s="7">
        <f>ROUND(0.00027431043226208,4)</f>
        <v>2.9999999999999997E-4</v>
      </c>
    </row>
    <row r="1014" spans="1:12">
      <c r="A1014" s="3" t="s">
        <v>2126</v>
      </c>
      <c r="B1014" s="4" t="s">
        <v>2127</v>
      </c>
      <c r="C1014" s="4" t="s">
        <v>389</v>
      </c>
      <c r="D1014" s="4" t="s">
        <v>407</v>
      </c>
      <c r="E1014" s="4" t="s">
        <v>35</v>
      </c>
      <c r="F1014" s="4" t="s">
        <v>21</v>
      </c>
      <c r="G1014" s="4" t="s">
        <v>408</v>
      </c>
      <c r="H1014" s="5">
        <f>ROUND(5584,0)</f>
        <v>5584</v>
      </c>
      <c r="I1014" s="6">
        <f>ROUND(15.54,2)</f>
        <v>15.54</v>
      </c>
      <c r="J1014" s="6">
        <f>ROUND(9.08595,2)</f>
        <v>9.09</v>
      </c>
      <c r="K1014" s="5">
        <f>ROUND(788436.58,0)</f>
        <v>788437</v>
      </c>
      <c r="L1014" s="7">
        <f>ROUND(0.000274015358104699,4)</f>
        <v>2.9999999999999997E-4</v>
      </c>
    </row>
    <row r="1015" spans="1:12">
      <c r="A1015" s="3" t="s">
        <v>2128</v>
      </c>
      <c r="B1015" s="4" t="s">
        <v>2129</v>
      </c>
      <c r="C1015" s="4" t="s">
        <v>400</v>
      </c>
      <c r="D1015" s="4" t="s">
        <v>766</v>
      </c>
      <c r="E1015" s="4" t="s">
        <v>767</v>
      </c>
      <c r="F1015" s="4" t="s">
        <v>768</v>
      </c>
      <c r="G1015" s="4" t="s">
        <v>408</v>
      </c>
      <c r="H1015" s="5">
        <f>ROUND(16900,0)</f>
        <v>16900</v>
      </c>
      <c r="I1015" s="6">
        <f>ROUND(157,2)</f>
        <v>157</v>
      </c>
      <c r="J1015" s="6">
        <f>ROUND(0.29707172,2)</f>
        <v>0.3</v>
      </c>
      <c r="K1015" s="5">
        <f>ROUND(788220.39,0)</f>
        <v>788220</v>
      </c>
      <c r="L1015" s="7">
        <f>ROUND(0.000273940222853784,4)</f>
        <v>2.9999999999999997E-4</v>
      </c>
    </row>
    <row r="1016" spans="1:12">
      <c r="A1016" s="3" t="s">
        <v>2130</v>
      </c>
      <c r="B1016" s="4" t="s">
        <v>2131</v>
      </c>
      <c r="C1016" s="4" t="s">
        <v>406</v>
      </c>
      <c r="D1016" s="4" t="s">
        <v>401</v>
      </c>
      <c r="E1016" s="4" t="s">
        <v>402</v>
      </c>
      <c r="F1016" s="4" t="s">
        <v>403</v>
      </c>
      <c r="G1016" s="4" t="s">
        <v>408</v>
      </c>
      <c r="H1016" s="5">
        <f>ROUND(13000,0)</f>
        <v>13000</v>
      </c>
      <c r="I1016" s="6">
        <f>ROUND(206.5,2)</f>
        <v>206.5</v>
      </c>
      <c r="J1016" s="6">
        <f>ROUND(0.29286371,2)</f>
        <v>0.28999999999999998</v>
      </c>
      <c r="K1016" s="5">
        <f>ROUND(786192.63,0)</f>
        <v>786193</v>
      </c>
      <c r="L1016" s="7">
        <f>ROUND(0.000273235489719066,4)</f>
        <v>2.9999999999999997E-4</v>
      </c>
    </row>
    <row r="1017" spans="1:12">
      <c r="A1017" s="3" t="s">
        <v>2132</v>
      </c>
      <c r="B1017" s="4" t="s">
        <v>2133</v>
      </c>
      <c r="C1017" s="4" t="s">
        <v>545</v>
      </c>
      <c r="D1017" s="4" t="s">
        <v>407</v>
      </c>
      <c r="E1017" s="4" t="s">
        <v>35</v>
      </c>
      <c r="F1017" s="4" t="s">
        <v>21</v>
      </c>
      <c r="G1017" s="4" t="s">
        <v>408</v>
      </c>
      <c r="H1017" s="5">
        <f>ROUND(703,0)</f>
        <v>703</v>
      </c>
      <c r="I1017" s="6">
        <f>ROUND(122.69,2)</f>
        <v>122.69</v>
      </c>
      <c r="J1017" s="6">
        <f>ROUND(9.08595,2)</f>
        <v>9.09</v>
      </c>
      <c r="K1017" s="5">
        <f>ROUND(783672.91,0)</f>
        <v>783673</v>
      </c>
      <c r="L1017" s="7">
        <f>ROUND(0.000272359779489939,4)</f>
        <v>2.9999999999999997E-4</v>
      </c>
    </row>
    <row r="1018" spans="1:12">
      <c r="A1018" s="3" t="s">
        <v>2134</v>
      </c>
      <c r="B1018" s="4" t="s">
        <v>2135</v>
      </c>
      <c r="C1018" s="4" t="s">
        <v>422</v>
      </c>
      <c r="D1018" s="4" t="s">
        <v>1119</v>
      </c>
      <c r="E1018" s="4" t="s">
        <v>1120</v>
      </c>
      <c r="F1018" s="4" t="s">
        <v>95</v>
      </c>
      <c r="G1018" s="4" t="s">
        <v>408</v>
      </c>
      <c r="H1018" s="5">
        <f>ROUND(15921,0)</f>
        <v>15921</v>
      </c>
      <c r="I1018" s="6">
        <f>ROUND(106.67,2)</f>
        <v>106.67</v>
      </c>
      <c r="J1018" s="6">
        <f>ROUND(0.4601869,2)</f>
        <v>0.46</v>
      </c>
      <c r="K1018" s="5">
        <f>ROUND(781532.22,0)</f>
        <v>781532</v>
      </c>
      <c r="L1018" s="7">
        <f>ROUND(0.000271615798360929,4)</f>
        <v>2.9999999999999997E-4</v>
      </c>
    </row>
    <row r="1019" spans="1:12">
      <c r="A1019" s="3" t="s">
        <v>2136</v>
      </c>
      <c r="B1019" s="4" t="s">
        <v>2137</v>
      </c>
      <c r="C1019" s="4" t="s">
        <v>389</v>
      </c>
      <c r="D1019" s="4" t="s">
        <v>514</v>
      </c>
      <c r="E1019" s="4" t="s">
        <v>515</v>
      </c>
      <c r="F1019" s="4" t="s">
        <v>190</v>
      </c>
      <c r="G1019" s="4" t="s">
        <v>408</v>
      </c>
      <c r="H1019" s="5">
        <f>ROUND(2400,0)</f>
        <v>2400</v>
      </c>
      <c r="I1019" s="6">
        <f>ROUND(47.43,2)</f>
        <v>47.43</v>
      </c>
      <c r="J1019" s="6">
        <f>ROUND(6.86237833,2)</f>
        <v>6.86</v>
      </c>
      <c r="K1019" s="5">
        <f>ROUND(781158.25,0)</f>
        <v>781158</v>
      </c>
      <c r="L1019" s="7">
        <f>ROUND(0.000271485827826748,4)</f>
        <v>2.9999999999999997E-4</v>
      </c>
    </row>
    <row r="1020" spans="1:12">
      <c r="A1020" s="3" t="s">
        <v>2138</v>
      </c>
      <c r="B1020" s="4" t="s">
        <v>2139</v>
      </c>
      <c r="C1020" s="4" t="s">
        <v>415</v>
      </c>
      <c r="D1020" s="4" t="s">
        <v>407</v>
      </c>
      <c r="E1020" s="4" t="s">
        <v>35</v>
      </c>
      <c r="F1020" s="4" t="s">
        <v>21</v>
      </c>
      <c r="G1020" s="4" t="s">
        <v>408</v>
      </c>
      <c r="H1020" s="5">
        <f>ROUND(5439,0)</f>
        <v>5439</v>
      </c>
      <c r="I1020" s="6">
        <f>ROUND(15.8,2)</f>
        <v>15.8</v>
      </c>
      <c r="J1020" s="6">
        <f>ROUND(9.08595,2)</f>
        <v>9.09</v>
      </c>
      <c r="K1020" s="5">
        <f>ROUND(780812.02,0)</f>
        <v>780812</v>
      </c>
      <c r="L1020" s="7">
        <f>ROUND(0.000271365498126372,4)</f>
        <v>2.9999999999999997E-4</v>
      </c>
    </row>
    <row r="1021" spans="1:12">
      <c r="A1021" s="3" t="s">
        <v>2140</v>
      </c>
      <c r="B1021" s="4" t="s">
        <v>2141</v>
      </c>
      <c r="C1021" s="4" t="s">
        <v>400</v>
      </c>
      <c r="D1021" s="4" t="s">
        <v>1119</v>
      </c>
      <c r="E1021" s="4" t="s">
        <v>1120</v>
      </c>
      <c r="F1021" s="4" t="s">
        <v>95</v>
      </c>
      <c r="G1021" s="4" t="s">
        <v>408</v>
      </c>
      <c r="H1021" s="5">
        <f>ROUND(15989,0)</f>
        <v>15989</v>
      </c>
      <c r="I1021" s="6">
        <f>ROUND(106.07,2)</f>
        <v>106.07</v>
      </c>
      <c r="J1021" s="6">
        <f>ROUND(0.4601869,2)</f>
        <v>0.46</v>
      </c>
      <c r="K1021" s="5">
        <f>ROUND(780455.46,0)</f>
        <v>780455</v>
      </c>
      <c r="L1021" s="7">
        <f>ROUND(0.000271241578310164,4)</f>
        <v>2.9999999999999997E-4</v>
      </c>
    </row>
    <row r="1022" spans="1:12">
      <c r="A1022" s="3" t="s">
        <v>2142</v>
      </c>
      <c r="B1022" s="4" t="s">
        <v>2143</v>
      </c>
      <c r="C1022" s="4" t="s">
        <v>430</v>
      </c>
      <c r="D1022" s="4" t="s">
        <v>1228</v>
      </c>
      <c r="E1022" s="4" t="s">
        <v>1229</v>
      </c>
      <c r="F1022" s="4" t="s">
        <v>18</v>
      </c>
      <c r="G1022" s="4" t="s">
        <v>408</v>
      </c>
      <c r="H1022" s="5">
        <f>ROUND(8077,0)</f>
        <v>8077</v>
      </c>
      <c r="I1022" s="6">
        <f>ROUND(9.734,2)</f>
        <v>9.73</v>
      </c>
      <c r="J1022" s="6">
        <f>ROUND(9.9055,2)</f>
        <v>9.91</v>
      </c>
      <c r="K1022" s="5">
        <f>ROUND(778785.47,0)</f>
        <v>778785</v>
      </c>
      <c r="L1022" s="7">
        <f>ROUND(0.00027066118551829,4)</f>
        <v>2.9999999999999997E-4</v>
      </c>
    </row>
    <row r="1023" spans="1:12">
      <c r="A1023" s="3" t="s">
        <v>2144</v>
      </c>
      <c r="B1023" s="4" t="s">
        <v>2145</v>
      </c>
      <c r="C1023" s="4" t="s">
        <v>400</v>
      </c>
      <c r="D1023" s="4" t="s">
        <v>407</v>
      </c>
      <c r="E1023" s="4" t="s">
        <v>35</v>
      </c>
      <c r="F1023" s="4" t="s">
        <v>21</v>
      </c>
      <c r="G1023" s="4" t="s">
        <v>408</v>
      </c>
      <c r="H1023" s="5">
        <f>ROUND(4800,0)</f>
        <v>4800</v>
      </c>
      <c r="I1023" s="6">
        <f>ROUND(17.84,2)</f>
        <v>17.84</v>
      </c>
      <c r="J1023" s="6">
        <f>ROUND(9.08595,2)</f>
        <v>9.09</v>
      </c>
      <c r="K1023" s="5">
        <f>ROUND(778048.07,0)</f>
        <v>778048</v>
      </c>
      <c r="L1023" s="7">
        <f>ROUND(0.000270404907549723,4)</f>
        <v>2.9999999999999997E-4</v>
      </c>
    </row>
    <row r="1024" spans="1:12">
      <c r="A1024" s="3" t="s">
        <v>2146</v>
      </c>
      <c r="B1024" s="4" t="s">
        <v>2147</v>
      </c>
      <c r="C1024" s="4" t="s">
        <v>400</v>
      </c>
      <c r="D1024" s="4" t="s">
        <v>489</v>
      </c>
      <c r="E1024" s="4" t="s">
        <v>490</v>
      </c>
      <c r="F1024" s="4" t="s">
        <v>45</v>
      </c>
      <c r="G1024" s="4" t="s">
        <v>408</v>
      </c>
      <c r="H1024" s="5">
        <f>ROUND(9300,0)</f>
        <v>9300</v>
      </c>
      <c r="I1024" s="6">
        <f>ROUND(995,2)</f>
        <v>995</v>
      </c>
      <c r="J1024" s="6">
        <f>ROUND(8.407077,2)</f>
        <v>8.41</v>
      </c>
      <c r="K1024" s="5">
        <f>ROUND(777948.87,0)</f>
        <v>777949</v>
      </c>
      <c r="L1024" s="7">
        <f>ROUND(0.00027037043131636,4)</f>
        <v>2.9999999999999997E-4</v>
      </c>
    </row>
    <row r="1025" spans="1:12">
      <c r="A1025" s="3" t="s">
        <v>2148</v>
      </c>
      <c r="B1025" s="4" t="s">
        <v>2149</v>
      </c>
      <c r="C1025" s="4" t="s">
        <v>534</v>
      </c>
      <c r="D1025" s="4" t="s">
        <v>1217</v>
      </c>
      <c r="E1025" s="4" t="s">
        <v>1218</v>
      </c>
      <c r="F1025" s="4" t="s">
        <v>21</v>
      </c>
      <c r="G1025" s="4" t="s">
        <v>408</v>
      </c>
      <c r="H1025" s="5">
        <f>ROUND(1600,0)</f>
        <v>1600</v>
      </c>
      <c r="I1025" s="6">
        <f>ROUND(53.5,2)</f>
        <v>53.5</v>
      </c>
      <c r="J1025" s="6">
        <f>ROUND(9.08595,2)</f>
        <v>9.09</v>
      </c>
      <c r="K1025" s="5">
        <f>ROUND(777757.32,0)</f>
        <v>777757</v>
      </c>
      <c r="L1025" s="7">
        <f>ROUND(0.000270303859516958,4)</f>
        <v>2.9999999999999997E-4</v>
      </c>
    </row>
    <row r="1026" spans="1:12">
      <c r="A1026" s="3" t="s">
        <v>2150</v>
      </c>
      <c r="B1026" s="4" t="s">
        <v>2151</v>
      </c>
      <c r="C1026" s="4" t="s">
        <v>534</v>
      </c>
      <c r="D1026" s="4" t="s">
        <v>407</v>
      </c>
      <c r="E1026" s="4" t="s">
        <v>35</v>
      </c>
      <c r="F1026" s="4" t="s">
        <v>21</v>
      </c>
      <c r="G1026" s="4" t="s">
        <v>408</v>
      </c>
      <c r="H1026" s="5">
        <f>ROUND(288,0)</f>
        <v>288</v>
      </c>
      <c r="I1026" s="6">
        <f>ROUND(297.15,2)</f>
        <v>297.14999999999998</v>
      </c>
      <c r="J1026" s="6">
        <f>ROUND(9.08595,2)</f>
        <v>9.09</v>
      </c>
      <c r="K1026" s="5">
        <f>ROUND(777568.33,0)</f>
        <v>777568</v>
      </c>
      <c r="L1026" s="7">
        <f>ROUND(0.000270238177426804,4)</f>
        <v>2.9999999999999997E-4</v>
      </c>
    </row>
    <row r="1027" spans="1:12">
      <c r="A1027" s="3" t="s">
        <v>2152</v>
      </c>
      <c r="B1027" s="4" t="s">
        <v>2153</v>
      </c>
      <c r="C1027" s="4" t="s">
        <v>406</v>
      </c>
      <c r="D1027" s="4" t="s">
        <v>390</v>
      </c>
      <c r="E1027" s="4" t="s">
        <v>391</v>
      </c>
      <c r="F1027" s="4" t="s">
        <v>72</v>
      </c>
      <c r="G1027" s="4" t="s">
        <v>408</v>
      </c>
      <c r="H1027" s="5">
        <f>ROUND(7820,0)</f>
        <v>7820</v>
      </c>
      <c r="I1027" s="6">
        <f>ROUND(16.15,2)</f>
        <v>16.149999999999999</v>
      </c>
      <c r="J1027" s="6">
        <f>ROUND(6.12812423,2)</f>
        <v>6.13</v>
      </c>
      <c r="K1027" s="5">
        <f>ROUND(773939.19,0)</f>
        <v>773939</v>
      </c>
      <c r="L1027" s="7">
        <f>ROUND(0.000268976896403146,4)</f>
        <v>2.9999999999999997E-4</v>
      </c>
    </row>
    <row r="1028" spans="1:12">
      <c r="A1028" s="3" t="s">
        <v>2154</v>
      </c>
      <c r="B1028" s="4" t="s">
        <v>2155</v>
      </c>
      <c r="C1028" s="4" t="s">
        <v>422</v>
      </c>
      <c r="D1028" s="4" t="s">
        <v>1333</v>
      </c>
      <c r="E1028" s="4" t="s">
        <v>3</v>
      </c>
      <c r="F1028" s="4" t="s">
        <v>1334</v>
      </c>
      <c r="G1028" s="4" t="s">
        <v>408</v>
      </c>
      <c r="H1028" s="5">
        <f>ROUND(26000,0)</f>
        <v>26000</v>
      </c>
      <c r="I1028" s="6">
        <f>ROUND(46500,2)</f>
        <v>46500</v>
      </c>
      <c r="J1028" s="6">
        <f>ROUND(6.4008,2)</f>
        <v>6.4</v>
      </c>
      <c r="K1028" s="5">
        <f>ROUND(773856.72,0)</f>
        <v>773857</v>
      </c>
      <c r="L1028" s="7">
        <f>ROUND(0.000268948234558736,4)</f>
        <v>2.9999999999999997E-4</v>
      </c>
    </row>
    <row r="1029" spans="1:12">
      <c r="A1029" s="3" t="s">
        <v>2156</v>
      </c>
      <c r="B1029" s="4" t="s">
        <v>2157</v>
      </c>
      <c r="C1029" s="4" t="s">
        <v>400</v>
      </c>
      <c r="D1029" s="4" t="s">
        <v>390</v>
      </c>
      <c r="E1029" s="4" t="s">
        <v>391</v>
      </c>
      <c r="F1029" s="4" t="s">
        <v>72</v>
      </c>
      <c r="G1029" s="4" t="s">
        <v>408</v>
      </c>
      <c r="H1029" s="5">
        <f>ROUND(9235,0)</f>
        <v>9235</v>
      </c>
      <c r="I1029" s="6">
        <f>ROUND(13.65,2)</f>
        <v>13.65</v>
      </c>
      <c r="J1029" s="6">
        <f>ROUND(6.12812423,2)</f>
        <v>6.13</v>
      </c>
      <c r="K1029" s="5">
        <f>ROUND(772497.55,0)</f>
        <v>772498</v>
      </c>
      <c r="L1029" s="7">
        <f>ROUND(0.000268475864981116,4)</f>
        <v>2.9999999999999997E-4</v>
      </c>
    </row>
    <row r="1030" spans="1:12">
      <c r="A1030" s="3" t="s">
        <v>2158</v>
      </c>
      <c r="B1030" s="4" t="s">
        <v>2159</v>
      </c>
      <c r="C1030" s="4" t="s">
        <v>534</v>
      </c>
      <c r="D1030" s="4" t="s">
        <v>489</v>
      </c>
      <c r="E1030" s="4" t="s">
        <v>490</v>
      </c>
      <c r="F1030" s="4" t="s">
        <v>45</v>
      </c>
      <c r="G1030" s="4" t="s">
        <v>408</v>
      </c>
      <c r="H1030" s="5">
        <f>ROUND(2200,0)</f>
        <v>2200</v>
      </c>
      <c r="I1030" s="6">
        <f>ROUND(4165,2)</f>
        <v>4165</v>
      </c>
      <c r="J1030" s="6">
        <f>ROUND(8.407077,2)</f>
        <v>8.41</v>
      </c>
      <c r="K1030" s="5">
        <f>ROUND(770340.47,0)</f>
        <v>770340</v>
      </c>
      <c r="L1030" s="7">
        <f>ROUND(0.000267726187627662,4)</f>
        <v>2.9999999999999997E-4</v>
      </c>
    </row>
    <row r="1031" spans="1:12">
      <c r="A1031" s="3" t="s">
        <v>2160</v>
      </c>
      <c r="B1031" s="4" t="s">
        <v>2161</v>
      </c>
      <c r="C1031" s="4" t="s">
        <v>445</v>
      </c>
      <c r="D1031" s="4" t="s">
        <v>395</v>
      </c>
      <c r="E1031" s="4" t="s">
        <v>396</v>
      </c>
      <c r="F1031" s="4" t="s">
        <v>397</v>
      </c>
      <c r="G1031" s="4" t="s">
        <v>408</v>
      </c>
      <c r="H1031" s="5">
        <f>ROUND(10517,0)</f>
        <v>10517</v>
      </c>
      <c r="I1031" s="6">
        <f>ROUND(33.53,2)</f>
        <v>33.53</v>
      </c>
      <c r="J1031" s="6">
        <f>ROUND(2.18129969,2)</f>
        <v>2.1800000000000002</v>
      </c>
      <c r="K1031" s="5">
        <f>ROUND(769202.64,0)</f>
        <v>769203</v>
      </c>
      <c r="L1031" s="7">
        <f>ROUND(0.000267330743145733,4)</f>
        <v>2.9999999999999997E-4</v>
      </c>
    </row>
    <row r="1032" spans="1:12">
      <c r="A1032" s="3" t="s">
        <v>2162</v>
      </c>
      <c r="B1032" s="4" t="s">
        <v>2163</v>
      </c>
      <c r="C1032" s="4" t="s">
        <v>430</v>
      </c>
      <c r="D1032" s="4" t="s">
        <v>486</v>
      </c>
      <c r="E1032" s="4" t="s">
        <v>30</v>
      </c>
      <c r="F1032" s="4" t="s">
        <v>21</v>
      </c>
      <c r="G1032" s="4" t="s">
        <v>408</v>
      </c>
      <c r="H1032" s="5">
        <f>ROUND(3500,0)</f>
        <v>3500</v>
      </c>
      <c r="I1032" s="6">
        <f>ROUND(24.14,2)</f>
        <v>24.14</v>
      </c>
      <c r="J1032" s="6">
        <f>ROUND(9.08595,2)</f>
        <v>9.09</v>
      </c>
      <c r="K1032" s="5">
        <f>ROUND(767671.92,0)</f>
        <v>767672</v>
      </c>
      <c r="L1032" s="7">
        <f>ROUND(0.000266798752622211,4)</f>
        <v>2.9999999999999997E-4</v>
      </c>
    </row>
    <row r="1033" spans="1:12">
      <c r="A1033" s="3" t="s">
        <v>2164</v>
      </c>
      <c r="B1033" s="4" t="s">
        <v>2165</v>
      </c>
      <c r="C1033" s="4" t="s">
        <v>406</v>
      </c>
      <c r="D1033" s="4" t="s">
        <v>789</v>
      </c>
      <c r="E1033" s="4" t="s">
        <v>790</v>
      </c>
      <c r="F1033" s="4" t="s">
        <v>791</v>
      </c>
      <c r="G1033" s="4" t="s">
        <v>408</v>
      </c>
      <c r="H1033" s="5">
        <f>ROUND(24955,0)</f>
        <v>24955</v>
      </c>
      <c r="I1033" s="6">
        <f>ROUND(239.8,2)</f>
        <v>239.8</v>
      </c>
      <c r="J1033" s="6">
        <f>ROUND(0.12820804,2)</f>
        <v>0.13</v>
      </c>
      <c r="K1033" s="5">
        <f>ROUND(767223.71,0)</f>
        <v>767224</v>
      </c>
      <c r="L1033" s="7">
        <f>ROUND(0.000266642980519836,4)</f>
        <v>2.9999999999999997E-4</v>
      </c>
    </row>
    <row r="1034" spans="1:12">
      <c r="A1034" s="3" t="s">
        <v>2166</v>
      </c>
      <c r="B1034" s="4" t="s">
        <v>2167</v>
      </c>
      <c r="C1034" s="4" t="s">
        <v>406</v>
      </c>
      <c r="D1034" s="4" t="s">
        <v>489</v>
      </c>
      <c r="E1034" s="4" t="s">
        <v>490</v>
      </c>
      <c r="F1034" s="4" t="s">
        <v>45</v>
      </c>
      <c r="G1034" s="4" t="s">
        <v>408</v>
      </c>
      <c r="H1034" s="5">
        <f>ROUND(2000,0)</f>
        <v>2000</v>
      </c>
      <c r="I1034" s="6">
        <f>ROUND(4560,2)</f>
        <v>4560</v>
      </c>
      <c r="J1034" s="6">
        <f>ROUND(8.407077,2)</f>
        <v>8.41</v>
      </c>
      <c r="K1034" s="5">
        <f>ROUND(766725.42,0)</f>
        <v>766725</v>
      </c>
      <c r="L1034" s="7">
        <f>ROUND(0.000266469803480295,4)</f>
        <v>2.9999999999999997E-4</v>
      </c>
    </row>
    <row r="1035" spans="1:12">
      <c r="A1035" s="3" t="s">
        <v>2168</v>
      </c>
      <c r="B1035" s="4" t="s">
        <v>2169</v>
      </c>
      <c r="C1035" s="4" t="s">
        <v>430</v>
      </c>
      <c r="D1035" s="4" t="s">
        <v>739</v>
      </c>
      <c r="E1035" s="4" t="s">
        <v>740</v>
      </c>
      <c r="F1035" s="4" t="s">
        <v>741</v>
      </c>
      <c r="G1035" s="4" t="s">
        <v>408</v>
      </c>
      <c r="H1035" s="5">
        <f>ROUND(1012,0)</f>
        <v>1012</v>
      </c>
      <c r="I1035" s="6">
        <f>ROUND(99400,2)</f>
        <v>99400</v>
      </c>
      <c r="J1035" s="6">
        <f>ROUND(0.00759599,2)</f>
        <v>0.01</v>
      </c>
      <c r="K1035" s="5">
        <f>ROUND(764101.9,0)</f>
        <v>764102</v>
      </c>
      <c r="L1035" s="7">
        <f>ROUND(0.0002655580183215,4)</f>
        <v>2.9999999999999997E-4</v>
      </c>
    </row>
    <row r="1036" spans="1:12">
      <c r="A1036" s="3" t="s">
        <v>2170</v>
      </c>
      <c r="B1036" s="4" t="s">
        <v>2171</v>
      </c>
      <c r="C1036" s="4" t="s">
        <v>545</v>
      </c>
      <c r="D1036" s="4" t="s">
        <v>489</v>
      </c>
      <c r="E1036" s="4" t="s">
        <v>490</v>
      </c>
      <c r="F1036" s="4" t="s">
        <v>45</v>
      </c>
      <c r="G1036" s="4" t="s">
        <v>408</v>
      </c>
      <c r="H1036" s="5">
        <f>ROUND(11300,0)</f>
        <v>11300</v>
      </c>
      <c r="I1036" s="6">
        <f>ROUND(802.1,2)</f>
        <v>802.1</v>
      </c>
      <c r="J1036" s="6">
        <f>ROUND(8.407077,2)</f>
        <v>8.41</v>
      </c>
      <c r="K1036" s="5">
        <f>ROUND(761994.76,0)</f>
        <v>761995</v>
      </c>
      <c r="L1036" s="7">
        <f>ROUND(0.000264825697249238,4)</f>
        <v>2.9999999999999997E-4</v>
      </c>
    </row>
    <row r="1037" spans="1:12">
      <c r="A1037" s="3" t="s">
        <v>2172</v>
      </c>
      <c r="B1037" s="4" t="s">
        <v>2173</v>
      </c>
      <c r="C1037" s="4" t="s">
        <v>406</v>
      </c>
      <c r="D1037" s="4" t="s">
        <v>489</v>
      </c>
      <c r="E1037" s="4" t="s">
        <v>490</v>
      </c>
      <c r="F1037" s="4" t="s">
        <v>45</v>
      </c>
      <c r="G1037" s="4" t="s">
        <v>408</v>
      </c>
      <c r="H1037" s="5">
        <f>ROUND(6500,0)</f>
        <v>6500</v>
      </c>
      <c r="I1037" s="6">
        <f>ROUND(1394,2)</f>
        <v>1394</v>
      </c>
      <c r="J1037" s="6">
        <f>ROUND(8.407077,2)</f>
        <v>8.41</v>
      </c>
      <c r="K1037" s="5">
        <f>ROUND(761765.25,0)</f>
        <v>761765</v>
      </c>
      <c r="L1037" s="7">
        <f>ROUND(0.000264745932729891,4)</f>
        <v>2.9999999999999997E-4</v>
      </c>
    </row>
    <row r="1038" spans="1:12">
      <c r="A1038" s="3" t="s">
        <v>2174</v>
      </c>
      <c r="B1038" s="4" t="s">
        <v>2175</v>
      </c>
      <c r="C1038" s="4" t="s">
        <v>545</v>
      </c>
      <c r="D1038" s="4" t="s">
        <v>514</v>
      </c>
      <c r="E1038" s="4" t="s">
        <v>515</v>
      </c>
      <c r="F1038" s="4" t="s">
        <v>190</v>
      </c>
      <c r="G1038" s="4" t="s">
        <v>408</v>
      </c>
      <c r="H1038" s="5">
        <f>ROUND(9956,0)</f>
        <v>9956</v>
      </c>
      <c r="I1038" s="6">
        <f>ROUND(11.13,2)</f>
        <v>11.13</v>
      </c>
      <c r="J1038" s="6">
        <f>ROUND(6.86237833,2)</f>
        <v>6.86</v>
      </c>
      <c r="K1038" s="5">
        <f>ROUND(760422.06,0)</f>
        <v>760422</v>
      </c>
      <c r="L1038" s="7">
        <f>ROUND(0.000264279116884218,4)</f>
        <v>2.9999999999999997E-4</v>
      </c>
    </row>
    <row r="1039" spans="1:12">
      <c r="A1039" s="3" t="s">
        <v>2176</v>
      </c>
      <c r="B1039" s="4" t="s">
        <v>2177</v>
      </c>
      <c r="C1039" s="4" t="s">
        <v>445</v>
      </c>
      <c r="D1039" s="4" t="s">
        <v>655</v>
      </c>
      <c r="E1039" s="4" t="s">
        <v>656</v>
      </c>
      <c r="F1039" s="4" t="s">
        <v>26</v>
      </c>
      <c r="G1039" s="4" t="s">
        <v>408</v>
      </c>
      <c r="H1039" s="5">
        <f>ROUND(46200,0)</f>
        <v>46200</v>
      </c>
      <c r="I1039" s="6">
        <f>ROUND(14.2,2)</f>
        <v>14.2</v>
      </c>
      <c r="J1039" s="6">
        <f>ROUND(1.15901246,2)</f>
        <v>1.1599999999999999</v>
      </c>
      <c r="K1039" s="5">
        <f>ROUND(760358.53,0)</f>
        <v>760359</v>
      </c>
      <c r="L1039" s="7">
        <f>ROUND(0.000264257037498073,4)</f>
        <v>2.9999999999999997E-4</v>
      </c>
    </row>
    <row r="1040" spans="1:12">
      <c r="A1040" s="3" t="s">
        <v>2178</v>
      </c>
      <c r="B1040" s="4" t="s">
        <v>2179</v>
      </c>
      <c r="C1040" s="4" t="s">
        <v>389</v>
      </c>
      <c r="D1040" s="4" t="s">
        <v>456</v>
      </c>
      <c r="E1040" s="4" t="s">
        <v>457</v>
      </c>
      <c r="F1040" s="4" t="s">
        <v>21</v>
      </c>
      <c r="G1040" s="4" t="s">
        <v>408</v>
      </c>
      <c r="H1040" s="5">
        <f>ROUND(2851,0)</f>
        <v>2851</v>
      </c>
      <c r="I1040" s="6">
        <f>ROUND(29.29,2)</f>
        <v>29.29</v>
      </c>
      <c r="J1040" s="6">
        <f>ROUND(9.08595,2)</f>
        <v>9.09</v>
      </c>
      <c r="K1040" s="5">
        <f>ROUND(758729.43,0)</f>
        <v>758729</v>
      </c>
      <c r="L1040" s="7">
        <f>ROUND(0.000263690855726182,4)</f>
        <v>2.9999999999999997E-4</v>
      </c>
    </row>
    <row r="1041" spans="1:12">
      <c r="A1041" s="3" t="s">
        <v>2180</v>
      </c>
      <c r="B1041" s="4" t="s">
        <v>2181</v>
      </c>
      <c r="C1041" s="4" t="s">
        <v>400</v>
      </c>
      <c r="D1041" s="4" t="s">
        <v>717</v>
      </c>
      <c r="E1041" s="4" t="s">
        <v>718</v>
      </c>
      <c r="F1041" s="4" t="s">
        <v>175</v>
      </c>
      <c r="G1041" s="4" t="s">
        <v>408</v>
      </c>
      <c r="H1041" s="5">
        <f>ROUND(7243,0)</f>
        <v>7243</v>
      </c>
      <c r="I1041" s="6">
        <f>ROUND(17469,2)</f>
        <v>17469</v>
      </c>
      <c r="J1041" s="6">
        <f>ROUND(0.59923836,2)</f>
        <v>0.6</v>
      </c>
      <c r="K1041" s="5">
        <f>ROUND(758204.11,0)</f>
        <v>758204</v>
      </c>
      <c r="L1041" s="7">
        <f>ROUND(0.000263508284608135,4)</f>
        <v>2.9999999999999997E-4</v>
      </c>
    </row>
    <row r="1042" spans="1:12">
      <c r="A1042" s="3" t="s">
        <v>2182</v>
      </c>
      <c r="B1042" s="4" t="s">
        <v>2183</v>
      </c>
      <c r="C1042" s="4" t="s">
        <v>445</v>
      </c>
      <c r="D1042" s="4" t="s">
        <v>407</v>
      </c>
      <c r="E1042" s="4" t="s">
        <v>35</v>
      </c>
      <c r="F1042" s="4" t="s">
        <v>21</v>
      </c>
      <c r="G1042" s="4" t="s">
        <v>408</v>
      </c>
      <c r="H1042" s="5">
        <f>ROUND(923,0)</f>
        <v>923</v>
      </c>
      <c r="I1042" s="6">
        <f>ROUND(90.37,2)</f>
        <v>90.37</v>
      </c>
      <c r="J1042" s="6">
        <f>ROUND(9.08595,2)</f>
        <v>9.09</v>
      </c>
      <c r="K1042" s="5">
        <f>ROUND(757872.81,0)</f>
        <v>757873</v>
      </c>
      <c r="L1042" s="7">
        <f>ROUND(0.000263393143719898,4)</f>
        <v>2.9999999999999997E-4</v>
      </c>
    </row>
    <row r="1043" spans="1:12">
      <c r="A1043" s="3" t="s">
        <v>2184</v>
      </c>
      <c r="B1043" s="4" t="s">
        <v>2185</v>
      </c>
      <c r="C1043" s="4" t="s">
        <v>400</v>
      </c>
      <c r="D1043" s="4" t="s">
        <v>655</v>
      </c>
      <c r="E1043" s="4" t="s">
        <v>656</v>
      </c>
      <c r="F1043" s="4" t="s">
        <v>26</v>
      </c>
      <c r="G1043" s="4" t="s">
        <v>408</v>
      </c>
      <c r="H1043" s="5">
        <f>ROUND(36000,0)</f>
        <v>36000</v>
      </c>
      <c r="I1043" s="6">
        <f>ROUND(18.16,2)</f>
        <v>18.16</v>
      </c>
      <c r="J1043" s="6">
        <f>ROUND(1.15901246,2)</f>
        <v>1.1599999999999999</v>
      </c>
      <c r="K1043" s="5">
        <f>ROUND(757715.99,0)</f>
        <v>757716</v>
      </c>
      <c r="L1043" s="7">
        <f>ROUND(0.000263338642077599,4)</f>
        <v>2.9999999999999997E-4</v>
      </c>
    </row>
    <row r="1044" spans="1:12">
      <c r="A1044" s="3" t="s">
        <v>2186</v>
      </c>
      <c r="B1044" s="4" t="s">
        <v>2187</v>
      </c>
      <c r="C1044" s="4" t="s">
        <v>400</v>
      </c>
      <c r="D1044" s="4" t="s">
        <v>1724</v>
      </c>
      <c r="E1044" s="4" t="s">
        <v>1725</v>
      </c>
      <c r="F1044" s="4" t="s">
        <v>1726</v>
      </c>
      <c r="G1044" s="4" t="s">
        <v>408</v>
      </c>
      <c r="H1044" s="5">
        <f>ROUND(122500,0)</f>
        <v>122500</v>
      </c>
      <c r="I1044" s="6">
        <f>ROUND(2.85,2)</f>
        <v>2.85</v>
      </c>
      <c r="J1044" s="6">
        <f>ROUND(2.17002213,2)</f>
        <v>2.17</v>
      </c>
      <c r="K1044" s="5">
        <f>ROUND(757608.98,0)</f>
        <v>757609</v>
      </c>
      <c r="L1044" s="7">
        <f>ROUND(0.000263301451535945,4)</f>
        <v>2.9999999999999997E-4</v>
      </c>
    </row>
    <row r="1045" spans="1:12">
      <c r="A1045" s="3" t="s">
        <v>2188</v>
      </c>
      <c r="B1045" s="4" t="s">
        <v>2189</v>
      </c>
      <c r="C1045" s="4" t="s">
        <v>445</v>
      </c>
      <c r="D1045" s="4" t="s">
        <v>407</v>
      </c>
      <c r="E1045" s="4" t="s">
        <v>35</v>
      </c>
      <c r="F1045" s="4" t="s">
        <v>21</v>
      </c>
      <c r="G1045" s="4" t="s">
        <v>408</v>
      </c>
      <c r="H1045" s="5">
        <f>ROUND(700,0)</f>
        <v>700</v>
      </c>
      <c r="I1045" s="6">
        <f>ROUND(119.09,2)</f>
        <v>119.09</v>
      </c>
      <c r="J1045" s="6">
        <f>ROUND(9.08595,2)</f>
        <v>9.09</v>
      </c>
      <c r="K1045" s="5">
        <f>ROUND(757432.05,0)</f>
        <v>757432</v>
      </c>
      <c r="L1045" s="7">
        <f>ROUND(0.000263239960810451,4)</f>
        <v>2.9999999999999997E-4</v>
      </c>
    </row>
    <row r="1046" spans="1:12">
      <c r="A1046" s="3" t="s">
        <v>2190</v>
      </c>
      <c r="B1046" s="4" t="s">
        <v>2191</v>
      </c>
      <c r="C1046" s="4" t="s">
        <v>406</v>
      </c>
      <c r="D1046" s="4" t="s">
        <v>401</v>
      </c>
      <c r="E1046" s="4" t="s">
        <v>402</v>
      </c>
      <c r="F1046" s="4" t="s">
        <v>403</v>
      </c>
      <c r="G1046" s="4" t="s">
        <v>408</v>
      </c>
      <c r="H1046" s="5">
        <f>ROUND(11000,0)</f>
        <v>11000</v>
      </c>
      <c r="I1046" s="6">
        <f>ROUND(235,2)</f>
        <v>235</v>
      </c>
      <c r="J1046" s="6">
        <f>ROUND(0.29286371,2)</f>
        <v>0.28999999999999998</v>
      </c>
      <c r="K1046" s="5">
        <f>ROUND(757052.69,0)</f>
        <v>757053</v>
      </c>
      <c r="L1046" s="7">
        <f>ROUND(0.000263108117021252,4)</f>
        <v>2.9999999999999997E-4</v>
      </c>
    </row>
    <row r="1047" spans="1:12">
      <c r="A1047" s="3" t="s">
        <v>2192</v>
      </c>
      <c r="B1047" s="4" t="s">
        <v>2193</v>
      </c>
      <c r="C1047" s="4" t="s">
        <v>445</v>
      </c>
      <c r="D1047" s="4" t="s">
        <v>407</v>
      </c>
      <c r="E1047" s="4" t="s">
        <v>35</v>
      </c>
      <c r="F1047" s="4" t="s">
        <v>21</v>
      </c>
      <c r="G1047" s="4" t="s">
        <v>408</v>
      </c>
      <c r="H1047" s="5">
        <f>ROUND(558,0)</f>
        <v>558</v>
      </c>
      <c r="I1047" s="6">
        <f>ROUND(149.24,2)</f>
        <v>149.24</v>
      </c>
      <c r="J1047" s="6">
        <f>ROUND(9.08595,2)</f>
        <v>9.09</v>
      </c>
      <c r="K1047" s="5">
        <f>ROUND(756640.85,0)</f>
        <v>756641</v>
      </c>
      <c r="L1047" s="7">
        <f>ROUND(0.000262964985045968,4)</f>
        <v>2.9999999999999997E-4</v>
      </c>
    </row>
    <row r="1048" spans="1:12">
      <c r="A1048" s="3" t="s">
        <v>2194</v>
      </c>
      <c r="B1048" s="4" t="s">
        <v>2195</v>
      </c>
      <c r="C1048" s="4" t="s">
        <v>400</v>
      </c>
      <c r="D1048" s="4" t="s">
        <v>1217</v>
      </c>
      <c r="E1048" s="4" t="s">
        <v>1218</v>
      </c>
      <c r="F1048" s="4" t="s">
        <v>21</v>
      </c>
      <c r="G1048" s="4" t="s">
        <v>408</v>
      </c>
      <c r="H1048" s="5">
        <f>ROUND(398,0)</f>
        <v>398</v>
      </c>
      <c r="I1048" s="6">
        <f>ROUND(208.44,2)</f>
        <v>208.44</v>
      </c>
      <c r="J1048" s="6">
        <f>ROUND(9.08595,2)</f>
        <v>9.09</v>
      </c>
      <c r="K1048" s="5">
        <f>ROUND(753762.42,0)</f>
        <v>753762</v>
      </c>
      <c r="L1048" s="7">
        <f>ROUND(0.000261964607783881,4)</f>
        <v>2.9999999999999997E-4</v>
      </c>
    </row>
    <row r="1049" spans="1:12">
      <c r="A1049" s="3" t="s">
        <v>2196</v>
      </c>
      <c r="B1049" s="4" t="s">
        <v>2197</v>
      </c>
      <c r="C1049" s="4" t="s">
        <v>422</v>
      </c>
      <c r="D1049" s="4" t="s">
        <v>423</v>
      </c>
      <c r="E1049" s="4" t="s">
        <v>25</v>
      </c>
      <c r="F1049" s="4" t="s">
        <v>16</v>
      </c>
      <c r="G1049" s="4" t="s">
        <v>408</v>
      </c>
      <c r="H1049" s="5">
        <f>ROUND(1,0)</f>
        <v>1</v>
      </c>
      <c r="I1049" s="6">
        <f>ROUND(82600,2)</f>
        <v>82600</v>
      </c>
      <c r="J1049" s="6">
        <f>ROUND(9.11185723,2)</f>
        <v>9.11</v>
      </c>
      <c r="K1049" s="5">
        <f>ROUND(752639.41,0)</f>
        <v>752639</v>
      </c>
      <c r="L1049" s="7">
        <f>ROUND(0.000261574313884396,4)</f>
        <v>2.9999999999999997E-4</v>
      </c>
    </row>
    <row r="1050" spans="1:12">
      <c r="A1050" s="3" t="s">
        <v>2198</v>
      </c>
      <c r="B1050" s="4" t="s">
        <v>2199</v>
      </c>
      <c r="C1050" s="4" t="s">
        <v>493</v>
      </c>
      <c r="D1050" s="4" t="s">
        <v>486</v>
      </c>
      <c r="E1050" s="4" t="s">
        <v>30</v>
      </c>
      <c r="F1050" s="4" t="s">
        <v>20</v>
      </c>
      <c r="G1050" s="4" t="s">
        <v>408</v>
      </c>
      <c r="H1050" s="5">
        <f>ROUND(3103,0)</f>
        <v>3103</v>
      </c>
      <c r="I1050" s="6">
        <f>ROUND(2165,2)</f>
        <v>2165</v>
      </c>
      <c r="J1050" s="6">
        <f>ROUND(11.19645077,2)</f>
        <v>11.2</v>
      </c>
      <c r="K1050" s="5">
        <f>ROUND(752177,0)</f>
        <v>752177</v>
      </c>
      <c r="L1050" s="7">
        <f>ROUND(0.000261413606676035,4)</f>
        <v>2.9999999999999997E-4</v>
      </c>
    </row>
    <row r="1051" spans="1:12">
      <c r="A1051" s="3" t="s">
        <v>2200</v>
      </c>
      <c r="B1051" s="4" t="s">
        <v>2201</v>
      </c>
      <c r="C1051" s="4" t="s">
        <v>400</v>
      </c>
      <c r="D1051" s="4" t="s">
        <v>407</v>
      </c>
      <c r="E1051" s="4" t="s">
        <v>35</v>
      </c>
      <c r="F1051" s="4" t="s">
        <v>21</v>
      </c>
      <c r="G1051" s="4" t="s">
        <v>408</v>
      </c>
      <c r="H1051" s="5">
        <f>ROUND(70,0)</f>
        <v>70</v>
      </c>
      <c r="I1051" s="6">
        <f>ROUND(1181.9,2)</f>
        <v>1181.9000000000001</v>
      </c>
      <c r="J1051" s="6">
        <f>ROUND(9.08595,2)</f>
        <v>9.09</v>
      </c>
      <c r="K1051" s="5">
        <f>ROUND(751707.9,0)</f>
        <v>751708</v>
      </c>
      <c r="L1051" s="7">
        <f>ROUND(0.000261250574407179,4)</f>
        <v>2.9999999999999997E-4</v>
      </c>
    </row>
    <row r="1052" spans="1:12">
      <c r="A1052" s="3" t="s">
        <v>2202</v>
      </c>
      <c r="B1052" s="4" t="s">
        <v>2203</v>
      </c>
      <c r="C1052" s="4" t="s">
        <v>445</v>
      </c>
      <c r="D1052" s="4" t="s">
        <v>407</v>
      </c>
      <c r="E1052" s="4" t="s">
        <v>35</v>
      </c>
      <c r="F1052" s="4" t="s">
        <v>21</v>
      </c>
      <c r="G1052" s="4" t="s">
        <v>408</v>
      </c>
      <c r="H1052" s="5">
        <f>ROUND(1300,0)</f>
        <v>1300</v>
      </c>
      <c r="I1052" s="6">
        <f>ROUND(63.5,2)</f>
        <v>63.5</v>
      </c>
      <c r="J1052" s="6">
        <f>ROUND(9.08595,2)</f>
        <v>9.09</v>
      </c>
      <c r="K1052" s="5">
        <f>ROUND(750045.17,0)</f>
        <v>750045</v>
      </c>
      <c r="L1052" s="7">
        <f>ROUND(0.000260672704775126,4)</f>
        <v>2.9999999999999997E-4</v>
      </c>
    </row>
    <row r="1053" spans="1:12">
      <c r="A1053" s="3" t="s">
        <v>2204</v>
      </c>
      <c r="B1053" s="4" t="s">
        <v>2205</v>
      </c>
      <c r="C1053" s="4" t="s">
        <v>415</v>
      </c>
      <c r="D1053" s="4" t="s">
        <v>514</v>
      </c>
      <c r="E1053" s="4" t="s">
        <v>515</v>
      </c>
      <c r="F1053" s="4" t="s">
        <v>190</v>
      </c>
      <c r="G1053" s="4" t="s">
        <v>408</v>
      </c>
      <c r="H1053" s="5">
        <f>ROUND(1700,0)</f>
        <v>1700</v>
      </c>
      <c r="I1053" s="6">
        <f>ROUND(64.08,2)</f>
        <v>64.08</v>
      </c>
      <c r="J1053" s="6">
        <f>ROUND(6.86237833,2)</f>
        <v>6.86</v>
      </c>
      <c r="K1053" s="5">
        <f>ROUND(747560.05,0)</f>
        <v>747560</v>
      </c>
      <c r="L1053" s="7">
        <f>ROUND(0.000259809019522555,4)</f>
        <v>2.9999999999999997E-4</v>
      </c>
    </row>
    <row r="1054" spans="1:12">
      <c r="A1054" s="3" t="s">
        <v>2206</v>
      </c>
      <c r="B1054" s="4" t="s">
        <v>2207</v>
      </c>
      <c r="C1054" s="4" t="s">
        <v>430</v>
      </c>
      <c r="D1054" s="4" t="s">
        <v>514</v>
      </c>
      <c r="E1054" s="4" t="s">
        <v>515</v>
      </c>
      <c r="F1054" s="4" t="s">
        <v>190</v>
      </c>
      <c r="G1054" s="4" t="s">
        <v>408</v>
      </c>
      <c r="H1054" s="5">
        <f>ROUND(17938,0)</f>
        <v>17938</v>
      </c>
      <c r="I1054" s="6">
        <f>ROUND(6.07,2)</f>
        <v>6.07</v>
      </c>
      <c r="J1054" s="6">
        <f>ROUND(6.86237833,2)</f>
        <v>6.86</v>
      </c>
      <c r="K1054" s="5">
        <f>ROUND(747200.87,0)</f>
        <v>747201</v>
      </c>
      <c r="L1054" s="7">
        <f>ROUND(0.000259684189144538,4)</f>
        <v>2.9999999999999997E-4</v>
      </c>
    </row>
    <row r="1055" spans="1:12">
      <c r="A1055" s="3" t="s">
        <v>2208</v>
      </c>
      <c r="B1055" s="4" t="s">
        <v>2209</v>
      </c>
      <c r="C1055" s="4" t="s">
        <v>400</v>
      </c>
      <c r="D1055" s="4" t="s">
        <v>407</v>
      </c>
      <c r="E1055" s="4" t="s">
        <v>35</v>
      </c>
      <c r="F1055" s="4" t="s">
        <v>21</v>
      </c>
      <c r="G1055" s="4" t="s">
        <v>408</v>
      </c>
      <c r="H1055" s="5">
        <f>ROUND(2765,0)</f>
        <v>2765</v>
      </c>
      <c r="I1055" s="6">
        <f>ROUND(29.72,2)</f>
        <v>29.72</v>
      </c>
      <c r="J1055" s="6">
        <f>ROUND(9.08595,2)</f>
        <v>9.09</v>
      </c>
      <c r="K1055" s="5">
        <f>ROUND(746645.21,0)</f>
        <v>746645</v>
      </c>
      <c r="L1055" s="7">
        <f>ROUND(0.000259491073581731,4)</f>
        <v>2.9999999999999997E-4</v>
      </c>
    </row>
    <row r="1056" spans="1:12">
      <c r="A1056" s="3" t="s">
        <v>2210</v>
      </c>
      <c r="B1056" s="4" t="s">
        <v>2211</v>
      </c>
      <c r="C1056" s="4" t="s">
        <v>406</v>
      </c>
      <c r="D1056" s="4" t="s">
        <v>407</v>
      </c>
      <c r="E1056" s="4" t="s">
        <v>35</v>
      </c>
      <c r="F1056" s="4" t="s">
        <v>21</v>
      </c>
      <c r="G1056" s="4" t="s">
        <v>408</v>
      </c>
      <c r="H1056" s="5">
        <f>ROUND(659,0)</f>
        <v>659</v>
      </c>
      <c r="I1056" s="6">
        <f>ROUND(124.43,2)</f>
        <v>124.43</v>
      </c>
      <c r="J1056" s="6">
        <f>ROUND(9.08595,2)</f>
        <v>9.09</v>
      </c>
      <c r="K1056" s="5">
        <f>ROUND(745042.18,0)</f>
        <v>745042</v>
      </c>
      <c r="L1056" s="7">
        <f>ROUND(0.000258933952247378,4)</f>
        <v>2.9999999999999997E-4</v>
      </c>
    </row>
    <row r="1057" spans="1:12">
      <c r="A1057" s="3" t="s">
        <v>2212</v>
      </c>
      <c r="B1057" s="4" t="s">
        <v>2213</v>
      </c>
      <c r="C1057" s="4" t="s">
        <v>445</v>
      </c>
      <c r="D1057" s="4" t="s">
        <v>739</v>
      </c>
      <c r="E1057" s="4" t="s">
        <v>740</v>
      </c>
      <c r="F1057" s="4" t="s">
        <v>741</v>
      </c>
      <c r="G1057" s="4" t="s">
        <v>408</v>
      </c>
      <c r="H1057" s="5">
        <f>ROUND(598,0)</f>
        <v>598</v>
      </c>
      <c r="I1057" s="6">
        <f>ROUND(164000,2)</f>
        <v>164000</v>
      </c>
      <c r="J1057" s="6">
        <f>ROUND(0.00759599,2)</f>
        <v>0.01</v>
      </c>
      <c r="K1057" s="5">
        <f>ROUND(744953.93,0)</f>
        <v>744954</v>
      </c>
      <c r="L1057" s="7">
        <f>ROUND(0.000258903281606306,4)</f>
        <v>2.9999999999999997E-4</v>
      </c>
    </row>
    <row r="1058" spans="1:12">
      <c r="A1058" s="3" t="s">
        <v>2214</v>
      </c>
      <c r="B1058" s="4" t="s">
        <v>2215</v>
      </c>
      <c r="C1058" s="4" t="s">
        <v>430</v>
      </c>
      <c r="D1058" s="4" t="s">
        <v>407</v>
      </c>
      <c r="E1058" s="4" t="s">
        <v>35</v>
      </c>
      <c r="F1058" s="4" t="s">
        <v>21</v>
      </c>
      <c r="G1058" s="4" t="s">
        <v>408</v>
      </c>
      <c r="H1058" s="5">
        <f>ROUND(1300,0)</f>
        <v>1300</v>
      </c>
      <c r="I1058" s="6">
        <f>ROUND(63.06,2)</f>
        <v>63.06</v>
      </c>
      <c r="J1058" s="6">
        <f>ROUND(9.08595,2)</f>
        <v>9.09</v>
      </c>
      <c r="K1058" s="5">
        <f>ROUND(744848.01,0)</f>
        <v>744848</v>
      </c>
      <c r="L1058" s="7">
        <f>ROUND(0.000258866469886167,4)</f>
        <v>2.9999999999999997E-4</v>
      </c>
    </row>
    <row r="1059" spans="1:12">
      <c r="A1059" s="3" t="s">
        <v>2216</v>
      </c>
      <c r="B1059" s="4" t="s">
        <v>2217</v>
      </c>
      <c r="C1059" s="4" t="s">
        <v>400</v>
      </c>
      <c r="D1059" s="4" t="s">
        <v>407</v>
      </c>
      <c r="E1059" s="4" t="s">
        <v>35</v>
      </c>
      <c r="F1059" s="4" t="s">
        <v>21</v>
      </c>
      <c r="G1059" s="4" t="s">
        <v>408</v>
      </c>
      <c r="H1059" s="5">
        <f>ROUND(700,0)</f>
        <v>700</v>
      </c>
      <c r="I1059" s="6">
        <f>ROUND(116.67,2)</f>
        <v>116.67</v>
      </c>
      <c r="J1059" s="6">
        <f>ROUND(9.08595,2)</f>
        <v>9.09</v>
      </c>
      <c r="K1059" s="5">
        <f>ROUND(742040.45,0)</f>
        <v>742040</v>
      </c>
      <c r="L1059" s="7">
        <f>ROUND(0.00025789072297346,4)</f>
        <v>2.9999999999999997E-4</v>
      </c>
    </row>
    <row r="1060" spans="1:12">
      <c r="A1060" s="3" t="s">
        <v>2218</v>
      </c>
      <c r="B1060" s="4" t="s">
        <v>2219</v>
      </c>
      <c r="C1060" s="4" t="s">
        <v>406</v>
      </c>
      <c r="D1060" s="4" t="s">
        <v>407</v>
      </c>
      <c r="E1060" s="4" t="s">
        <v>35</v>
      </c>
      <c r="F1060" s="4" t="s">
        <v>21</v>
      </c>
      <c r="G1060" s="4" t="s">
        <v>408</v>
      </c>
      <c r="H1060" s="5">
        <f>ROUND(4248,0)</f>
        <v>4248</v>
      </c>
      <c r="I1060" s="6">
        <f>ROUND(19.21,2)</f>
        <v>19.21</v>
      </c>
      <c r="J1060" s="6">
        <f>ROUND(9.08595,2)</f>
        <v>9.09</v>
      </c>
      <c r="K1060" s="5">
        <f>ROUND(741450.59,0)</f>
        <v>741451</v>
      </c>
      <c r="L1060" s="7">
        <f>ROUND(0.000257685721451167,4)</f>
        <v>2.9999999999999997E-4</v>
      </c>
    </row>
    <row r="1061" spans="1:12">
      <c r="A1061" s="3" t="s">
        <v>2220</v>
      </c>
      <c r="B1061" s="4" t="s">
        <v>2221</v>
      </c>
      <c r="C1061" s="4" t="s">
        <v>534</v>
      </c>
      <c r="D1061" s="4" t="s">
        <v>552</v>
      </c>
      <c r="E1061" s="4" t="s">
        <v>553</v>
      </c>
      <c r="F1061" s="4" t="s">
        <v>26</v>
      </c>
      <c r="G1061" s="4" t="s">
        <v>408</v>
      </c>
      <c r="H1061" s="5">
        <f>ROUND(14500,0)</f>
        <v>14500</v>
      </c>
      <c r="I1061" s="6">
        <f>ROUND(44,2)</f>
        <v>44</v>
      </c>
      <c r="J1061" s="6">
        <f>ROUND(1.15901246,2)</f>
        <v>1.1599999999999999</v>
      </c>
      <c r="K1061" s="5">
        <f>ROUND(739449.95,0)</f>
        <v>739450</v>
      </c>
      <c r="L1061" s="7">
        <f>ROUND(0.000256990413673795,4)</f>
        <v>2.9999999999999997E-4</v>
      </c>
    </row>
    <row r="1062" spans="1:12">
      <c r="A1062" s="3" t="s">
        <v>2222</v>
      </c>
      <c r="B1062" s="4" t="s">
        <v>2223</v>
      </c>
      <c r="C1062" s="4" t="s">
        <v>566</v>
      </c>
      <c r="D1062" s="4" t="s">
        <v>541</v>
      </c>
      <c r="E1062" s="4" t="s">
        <v>542</v>
      </c>
      <c r="F1062" s="4" t="s">
        <v>18</v>
      </c>
      <c r="G1062" s="4" t="s">
        <v>408</v>
      </c>
      <c r="H1062" s="5">
        <f>ROUND(2224,0)</f>
        <v>2224</v>
      </c>
      <c r="I1062" s="6">
        <f>ROUND(33.49,2)</f>
        <v>33.49</v>
      </c>
      <c r="J1062" s="6">
        <f>ROUND(9.9055,2)</f>
        <v>9.91</v>
      </c>
      <c r="K1062" s="5">
        <f>ROUND(737779.07,0)</f>
        <v>737779</v>
      </c>
      <c r="L1062" s="7">
        <f>ROUND(0.00025640971156894,4)</f>
        <v>2.9999999999999997E-4</v>
      </c>
    </row>
    <row r="1063" spans="1:12">
      <c r="A1063" s="3" t="s">
        <v>2224</v>
      </c>
      <c r="B1063" s="4" t="s">
        <v>2225</v>
      </c>
      <c r="C1063" s="4" t="s">
        <v>534</v>
      </c>
      <c r="D1063" s="4" t="s">
        <v>407</v>
      </c>
      <c r="E1063" s="4" t="s">
        <v>35</v>
      </c>
      <c r="F1063" s="4" t="s">
        <v>21</v>
      </c>
      <c r="G1063" s="4" t="s">
        <v>408</v>
      </c>
      <c r="H1063" s="5">
        <f>ROUND(1019,0)</f>
        <v>1019</v>
      </c>
      <c r="I1063" s="6">
        <f>ROUND(79.62,2)</f>
        <v>79.62</v>
      </c>
      <c r="J1063" s="6">
        <f>ROUND(9.08595,2)</f>
        <v>9.09</v>
      </c>
      <c r="K1063" s="5">
        <f>ROUND(737168.38,0)</f>
        <v>737168</v>
      </c>
      <c r="L1063" s="7">
        <f>ROUND(0.000256197470732726,4)</f>
        <v>2.9999999999999997E-4</v>
      </c>
    </row>
    <row r="1064" spans="1:12">
      <c r="A1064" s="3" t="s">
        <v>2226</v>
      </c>
      <c r="B1064" s="4" t="s">
        <v>2227</v>
      </c>
      <c r="C1064" s="4" t="s">
        <v>415</v>
      </c>
      <c r="D1064" s="4" t="s">
        <v>407</v>
      </c>
      <c r="E1064" s="4" t="s">
        <v>35</v>
      </c>
      <c r="F1064" s="4" t="s">
        <v>21</v>
      </c>
      <c r="G1064" s="4" t="s">
        <v>408</v>
      </c>
      <c r="H1064" s="5">
        <f>ROUND(6493,0)</f>
        <v>6493</v>
      </c>
      <c r="I1064" s="6">
        <f>ROUND(12.48,2)</f>
        <v>12.48</v>
      </c>
      <c r="J1064" s="6">
        <f>ROUND(9.08595,2)</f>
        <v>9.09</v>
      </c>
      <c r="K1064" s="5">
        <f>ROUND(736258.52,0)</f>
        <v>736259</v>
      </c>
      <c r="L1064" s="7">
        <f>ROUND(0.000255881255554424,4)</f>
        <v>2.9999999999999997E-4</v>
      </c>
    </row>
    <row r="1065" spans="1:12">
      <c r="A1065" s="3" t="s">
        <v>2228</v>
      </c>
      <c r="B1065" s="4" t="s">
        <v>2229</v>
      </c>
      <c r="C1065" s="4" t="s">
        <v>406</v>
      </c>
      <c r="D1065" s="4" t="s">
        <v>407</v>
      </c>
      <c r="E1065" s="4" t="s">
        <v>35</v>
      </c>
      <c r="F1065" s="4" t="s">
        <v>21</v>
      </c>
      <c r="G1065" s="4" t="s">
        <v>408</v>
      </c>
      <c r="H1065" s="5">
        <f>ROUND(687,0)</f>
        <v>687</v>
      </c>
      <c r="I1065" s="6">
        <f>ROUND(117.86,2)</f>
        <v>117.86</v>
      </c>
      <c r="J1065" s="6">
        <f>ROUND(9.08595,2)</f>
        <v>9.09</v>
      </c>
      <c r="K1065" s="5">
        <f>ROUND(735687.74,0)</f>
        <v>735688</v>
      </c>
      <c r="L1065" s="7">
        <f>ROUND(0.00025568288514637,4)</f>
        <v>2.9999999999999997E-4</v>
      </c>
    </row>
    <row r="1066" spans="1:12">
      <c r="A1066" s="3" t="s">
        <v>2230</v>
      </c>
      <c r="B1066" s="4" t="s">
        <v>2231</v>
      </c>
      <c r="C1066" s="4" t="s">
        <v>400</v>
      </c>
      <c r="D1066" s="4" t="s">
        <v>739</v>
      </c>
      <c r="E1066" s="4" t="s">
        <v>740</v>
      </c>
      <c r="F1066" s="4" t="s">
        <v>741</v>
      </c>
      <c r="G1066" s="4" t="s">
        <v>408</v>
      </c>
      <c r="H1066" s="5">
        <f>ROUND(12908,0)</f>
        <v>12908</v>
      </c>
      <c r="I1066" s="6">
        <f>ROUND(7500,2)</f>
        <v>7500</v>
      </c>
      <c r="J1066" s="6">
        <f>ROUND(0.00759599,2)</f>
        <v>0.01</v>
      </c>
      <c r="K1066" s="5">
        <f>ROUND(735367.79,0)</f>
        <v>735368</v>
      </c>
      <c r="L1066" s="7">
        <f>ROUND(0.000255571688867494,4)</f>
        <v>2.9999999999999997E-4</v>
      </c>
    </row>
    <row r="1067" spans="1:12">
      <c r="A1067" s="3" t="s">
        <v>2232</v>
      </c>
      <c r="B1067" s="4" t="s">
        <v>2233</v>
      </c>
      <c r="C1067" s="4" t="s">
        <v>400</v>
      </c>
      <c r="D1067" s="4" t="s">
        <v>789</v>
      </c>
      <c r="E1067" s="4" t="s">
        <v>790</v>
      </c>
      <c r="F1067" s="4" t="s">
        <v>791</v>
      </c>
      <c r="G1067" s="4" t="s">
        <v>408</v>
      </c>
      <c r="H1067" s="5">
        <f>ROUND(21171,0)</f>
        <v>21171</v>
      </c>
      <c r="I1067" s="6">
        <f>ROUND(270.8,2)</f>
        <v>270.8</v>
      </c>
      <c r="J1067" s="6">
        <f>ROUND(0.12820804,2)</f>
        <v>0.13</v>
      </c>
      <c r="K1067" s="5">
        <f>ROUND(735030.39,0)</f>
        <v>735030</v>
      </c>
      <c r="L1067" s="7">
        <f>ROUND(0.000255454427968939,4)</f>
        <v>2.9999999999999997E-4</v>
      </c>
    </row>
    <row r="1068" spans="1:12">
      <c r="A1068" s="3" t="s">
        <v>2234</v>
      </c>
      <c r="B1068" s="4" t="s">
        <v>2235</v>
      </c>
      <c r="C1068" s="4" t="s">
        <v>406</v>
      </c>
      <c r="D1068" s="4" t="s">
        <v>489</v>
      </c>
      <c r="E1068" s="4" t="s">
        <v>490</v>
      </c>
      <c r="F1068" s="4" t="s">
        <v>45</v>
      </c>
      <c r="G1068" s="4" t="s">
        <v>408</v>
      </c>
      <c r="H1068" s="5">
        <f>ROUND(1700,0)</f>
        <v>1700</v>
      </c>
      <c r="I1068" s="6">
        <f>ROUND(5140,2)</f>
        <v>5140</v>
      </c>
      <c r="J1068" s="6">
        <f>ROUND(8.407077,2)</f>
        <v>8.41</v>
      </c>
      <c r="K1068" s="5">
        <f>ROUND(734610.39,0)</f>
        <v>734610</v>
      </c>
      <c r="L1068" s="7">
        <f>ROUND(0.000255308460045426,4)</f>
        <v>2.9999999999999997E-4</v>
      </c>
    </row>
    <row r="1069" spans="1:12">
      <c r="A1069" s="3" t="s">
        <v>2236</v>
      </c>
      <c r="B1069" s="4" t="s">
        <v>2237</v>
      </c>
      <c r="C1069" s="4" t="s">
        <v>400</v>
      </c>
      <c r="D1069" s="4" t="s">
        <v>623</v>
      </c>
      <c r="E1069" s="4" t="s">
        <v>624</v>
      </c>
      <c r="F1069" s="4" t="s">
        <v>18</v>
      </c>
      <c r="G1069" s="4" t="s">
        <v>408</v>
      </c>
      <c r="H1069" s="5">
        <f>ROUND(1454,0)</f>
        <v>1454</v>
      </c>
      <c r="I1069" s="6">
        <f>ROUND(50.88,2)</f>
        <v>50.88</v>
      </c>
      <c r="J1069" s="6">
        <f>ROUND(9.9055,2)</f>
        <v>9.91</v>
      </c>
      <c r="K1069" s="5">
        <f>ROUND(732804.14,0)</f>
        <v>732804</v>
      </c>
      <c r="L1069" s="7">
        <f>ROUND(0.000254680711088654,4)</f>
        <v>2.9999999999999997E-4</v>
      </c>
    </row>
    <row r="1070" spans="1:12">
      <c r="A1070" s="3" t="s">
        <v>2238</v>
      </c>
      <c r="B1070" s="4" t="s">
        <v>2239</v>
      </c>
      <c r="C1070" s="4" t="s">
        <v>430</v>
      </c>
      <c r="D1070" s="4" t="s">
        <v>514</v>
      </c>
      <c r="E1070" s="4" t="s">
        <v>515</v>
      </c>
      <c r="F1070" s="4" t="s">
        <v>190</v>
      </c>
      <c r="G1070" s="4" t="s">
        <v>408</v>
      </c>
      <c r="H1070" s="5">
        <f>ROUND(8144,0)</f>
        <v>8144</v>
      </c>
      <c r="I1070" s="6">
        <f>ROUND(13.11,2)</f>
        <v>13.11</v>
      </c>
      <c r="J1070" s="6">
        <f>ROUND(6.86237833,2)</f>
        <v>6.86</v>
      </c>
      <c r="K1070" s="5">
        <f>ROUND(732681.31,0)</f>
        <v>732681</v>
      </c>
      <c r="L1070" s="7">
        <f>ROUND(0.00025463802242188,4)</f>
        <v>2.9999999999999997E-4</v>
      </c>
    </row>
    <row r="1071" spans="1:12">
      <c r="A1071" s="3" t="s">
        <v>2240</v>
      </c>
      <c r="B1071" s="4" t="s">
        <v>2241</v>
      </c>
      <c r="C1071" s="4" t="s">
        <v>406</v>
      </c>
      <c r="D1071" s="4" t="s">
        <v>489</v>
      </c>
      <c r="E1071" s="4" t="s">
        <v>490</v>
      </c>
      <c r="F1071" s="4" t="s">
        <v>45</v>
      </c>
      <c r="G1071" s="4" t="s">
        <v>408</v>
      </c>
      <c r="H1071" s="5">
        <f>ROUND(900,0)</f>
        <v>900</v>
      </c>
      <c r="I1071" s="6">
        <f>ROUND(9670,2)</f>
        <v>9670</v>
      </c>
      <c r="J1071" s="6">
        <f>ROUND(8.407077,2)</f>
        <v>8.41</v>
      </c>
      <c r="K1071" s="5">
        <f>ROUND(731667.91,0)</f>
        <v>731668</v>
      </c>
      <c r="L1071" s="7">
        <f>ROUND(0.000254285822675004,4)</f>
        <v>2.9999999999999997E-4</v>
      </c>
    </row>
    <row r="1072" spans="1:12">
      <c r="A1072" s="3" t="s">
        <v>2242</v>
      </c>
      <c r="B1072" s="4" t="s">
        <v>2243</v>
      </c>
      <c r="C1072" s="4" t="s">
        <v>566</v>
      </c>
      <c r="D1072" s="4" t="s">
        <v>489</v>
      </c>
      <c r="E1072" s="4" t="s">
        <v>490</v>
      </c>
      <c r="F1072" s="4" t="s">
        <v>45</v>
      </c>
      <c r="G1072" s="4" t="s">
        <v>408</v>
      </c>
      <c r="H1072" s="5">
        <f>ROUND(12,0)</f>
        <v>12</v>
      </c>
      <c r="I1072" s="6">
        <f>ROUND(725000,2)</f>
        <v>725000</v>
      </c>
      <c r="J1072" s="6">
        <f>ROUND(8.407077,2)</f>
        <v>8.41</v>
      </c>
      <c r="K1072" s="5">
        <f>ROUND(731415.7,0)</f>
        <v>731416</v>
      </c>
      <c r="L1072" s="7">
        <f>ROUND(0.000254198168936935,4)</f>
        <v>2.9999999999999997E-4</v>
      </c>
    </row>
    <row r="1073" spans="1:12">
      <c r="A1073" s="3" t="s">
        <v>2244</v>
      </c>
      <c r="B1073" s="4" t="s">
        <v>2245</v>
      </c>
      <c r="C1073" s="4" t="s">
        <v>545</v>
      </c>
      <c r="D1073" s="4" t="s">
        <v>514</v>
      </c>
      <c r="E1073" s="4" t="s">
        <v>515</v>
      </c>
      <c r="F1073" s="4" t="s">
        <v>190</v>
      </c>
      <c r="G1073" s="4" t="s">
        <v>408</v>
      </c>
      <c r="H1073" s="5">
        <f>ROUND(1500,0)</f>
        <v>1500</v>
      </c>
      <c r="I1073" s="6">
        <f>ROUND(71,2)</f>
        <v>71</v>
      </c>
      <c r="J1073" s="6">
        <f>ROUND(6.86237833,2)</f>
        <v>6.86</v>
      </c>
      <c r="K1073" s="5">
        <f>ROUND(730843.29,0)</f>
        <v>730843</v>
      </c>
      <c r="L1073" s="7">
        <f>ROUND(0.000253999232034321,4)</f>
        <v>2.9999999999999997E-4</v>
      </c>
    </row>
    <row r="1074" spans="1:12">
      <c r="A1074" s="3" t="s">
        <v>2246</v>
      </c>
      <c r="B1074" s="4" t="s">
        <v>2247</v>
      </c>
      <c r="C1074" s="4" t="s">
        <v>406</v>
      </c>
      <c r="D1074" s="4" t="s">
        <v>739</v>
      </c>
      <c r="E1074" s="4" t="s">
        <v>740</v>
      </c>
      <c r="F1074" s="4" t="s">
        <v>741</v>
      </c>
      <c r="G1074" s="4" t="s">
        <v>408</v>
      </c>
      <c r="H1074" s="5">
        <f>ROUND(6790,0)</f>
        <v>6790</v>
      </c>
      <c r="I1074" s="6">
        <f>ROUND(14150,2)</f>
        <v>14150</v>
      </c>
      <c r="J1074" s="6">
        <f>ROUND(0.00759599,2)</f>
        <v>0.01</v>
      </c>
      <c r="K1074" s="5">
        <f>ROUND(729811.33,0)</f>
        <v>729811</v>
      </c>
      <c r="L1074" s="7">
        <f>ROUND(0.000253640581895397,4)</f>
        <v>2.9999999999999997E-4</v>
      </c>
    </row>
    <row r="1075" spans="1:12">
      <c r="A1075" s="3" t="s">
        <v>1656</v>
      </c>
      <c r="B1075" s="4" t="s">
        <v>2248</v>
      </c>
      <c r="C1075" s="4" t="s">
        <v>545</v>
      </c>
      <c r="D1075" s="4" t="s">
        <v>1127</v>
      </c>
      <c r="E1075" s="4" t="s">
        <v>1128</v>
      </c>
      <c r="F1075" s="4" t="s">
        <v>72</v>
      </c>
      <c r="G1075" s="4" t="s">
        <v>408</v>
      </c>
      <c r="H1075" s="5">
        <f>ROUND(8346,0)</f>
        <v>8346</v>
      </c>
      <c r="I1075" s="6">
        <f>ROUND(14.25,2)</f>
        <v>14.25</v>
      </c>
      <c r="J1075" s="6">
        <f>ROUND(6.12812423,2)</f>
        <v>6.13</v>
      </c>
      <c r="K1075" s="5">
        <f>ROUND(728820.88,0)</f>
        <v>728821</v>
      </c>
      <c r="L1075" s="7">
        <f>ROUND(0.000253296358252914,4)</f>
        <v>2.9999999999999997E-4</v>
      </c>
    </row>
    <row r="1076" spans="1:12">
      <c r="A1076" s="3" t="s">
        <v>2249</v>
      </c>
      <c r="B1076" s="4" t="s">
        <v>2250</v>
      </c>
      <c r="C1076" s="4" t="s">
        <v>534</v>
      </c>
      <c r="D1076" s="4" t="s">
        <v>496</v>
      </c>
      <c r="E1076" s="4" t="s">
        <v>497</v>
      </c>
      <c r="F1076" s="4" t="s">
        <v>20</v>
      </c>
      <c r="G1076" s="4" t="s">
        <v>408</v>
      </c>
      <c r="H1076" s="5">
        <f>ROUND(917,0)</f>
        <v>917</v>
      </c>
      <c r="I1076" s="6">
        <f>ROUND(7096,2)</f>
        <v>7096</v>
      </c>
      <c r="J1076" s="6">
        <f>ROUND(11.19645077,2)</f>
        <v>11.2</v>
      </c>
      <c r="K1076" s="5">
        <f>ROUND(728556.63,0)</f>
        <v>728557</v>
      </c>
      <c r="L1076" s="7">
        <f>ROUND(0.000253204520101037,4)</f>
        <v>2.9999999999999997E-4</v>
      </c>
    </row>
    <row r="1077" spans="1:12">
      <c r="A1077" s="3" t="s">
        <v>2251</v>
      </c>
      <c r="B1077" s="4" t="s">
        <v>2252</v>
      </c>
      <c r="C1077" s="4" t="s">
        <v>566</v>
      </c>
      <c r="D1077" s="4" t="s">
        <v>514</v>
      </c>
      <c r="E1077" s="4" t="s">
        <v>515</v>
      </c>
      <c r="F1077" s="4" t="s">
        <v>190</v>
      </c>
      <c r="G1077" s="4" t="s">
        <v>408</v>
      </c>
      <c r="H1077" s="5">
        <f>ROUND(4000,0)</f>
        <v>4000</v>
      </c>
      <c r="I1077" s="6">
        <f>ROUND(26.38,2)</f>
        <v>26.38</v>
      </c>
      <c r="J1077" s="6">
        <f>ROUND(6.86237833,2)</f>
        <v>6.86</v>
      </c>
      <c r="K1077" s="5">
        <f>ROUND(724118.16,0)</f>
        <v>724118</v>
      </c>
      <c r="L1077" s="7">
        <f>ROUND(0.000251661962364197,4)</f>
        <v>2.9999999999999997E-4</v>
      </c>
    </row>
    <row r="1078" spans="1:12">
      <c r="A1078" s="3" t="s">
        <v>2253</v>
      </c>
      <c r="B1078" s="4" t="s">
        <v>2254</v>
      </c>
      <c r="C1078" s="4" t="s">
        <v>389</v>
      </c>
      <c r="D1078" s="4" t="s">
        <v>789</v>
      </c>
      <c r="E1078" s="4" t="s">
        <v>790</v>
      </c>
      <c r="F1078" s="4" t="s">
        <v>791</v>
      </c>
      <c r="G1078" s="4" t="s">
        <v>408</v>
      </c>
      <c r="H1078" s="5">
        <f>ROUND(841,0)</f>
        <v>841</v>
      </c>
      <c r="I1078" s="6">
        <f>ROUND(6715.8,2)</f>
        <v>6715.8</v>
      </c>
      <c r="J1078" s="6">
        <f>ROUND(0.12820804,2)</f>
        <v>0.13</v>
      </c>
      <c r="K1078" s="5">
        <f>ROUND(724117.45,0)</f>
        <v>724117</v>
      </c>
      <c r="L1078" s="7">
        <f>ROUND(0.000251661715608897,4)</f>
        <v>2.9999999999999997E-4</v>
      </c>
    </row>
    <row r="1079" spans="1:12">
      <c r="A1079" s="3" t="s">
        <v>2255</v>
      </c>
      <c r="B1079" s="4" t="s">
        <v>2256</v>
      </c>
      <c r="C1079" s="4" t="s">
        <v>400</v>
      </c>
      <c r="D1079" s="4" t="s">
        <v>1059</v>
      </c>
      <c r="E1079" s="4" t="s">
        <v>1060</v>
      </c>
      <c r="F1079" s="4" t="s">
        <v>279</v>
      </c>
      <c r="G1079" s="4" t="s">
        <v>408</v>
      </c>
      <c r="H1079" s="5">
        <f>ROUND(4012,0)</f>
        <v>4012</v>
      </c>
      <c r="I1079" s="6">
        <f>ROUND(180.35,2)</f>
        <v>180.35</v>
      </c>
      <c r="J1079" s="6">
        <f>ROUND(1,2)</f>
        <v>1</v>
      </c>
      <c r="K1079" s="5">
        <f>ROUND(723564.2,0)</f>
        <v>723564</v>
      </c>
      <c r="L1079" s="7">
        <f>ROUND(0.000251469437623937,4)</f>
        <v>2.9999999999999997E-4</v>
      </c>
    </row>
    <row r="1080" spans="1:12">
      <c r="A1080" s="3" t="s">
        <v>2257</v>
      </c>
      <c r="B1080" s="4" t="s">
        <v>2258</v>
      </c>
      <c r="C1080" s="4" t="s">
        <v>400</v>
      </c>
      <c r="D1080" s="4" t="s">
        <v>489</v>
      </c>
      <c r="E1080" s="4" t="s">
        <v>490</v>
      </c>
      <c r="F1080" s="4" t="s">
        <v>45</v>
      </c>
      <c r="G1080" s="4" t="s">
        <v>408</v>
      </c>
      <c r="H1080" s="5">
        <f>ROUND(1900,0)</f>
        <v>1900</v>
      </c>
      <c r="I1080" s="6">
        <f>ROUND(4517,2)</f>
        <v>4517</v>
      </c>
      <c r="J1080" s="6">
        <f>ROUND(8.407077,2)</f>
        <v>8.41</v>
      </c>
      <c r="K1080" s="5">
        <f>ROUND(721520.57,0)</f>
        <v>721521</v>
      </c>
      <c r="L1080" s="7">
        <f>ROUND(0.000250759188986965,4)</f>
        <v>2.9999999999999997E-4</v>
      </c>
    </row>
    <row r="1081" spans="1:12">
      <c r="A1081" s="3" t="s">
        <v>2259</v>
      </c>
      <c r="B1081" s="4" t="s">
        <v>2260</v>
      </c>
      <c r="C1081" s="4" t="s">
        <v>415</v>
      </c>
      <c r="D1081" s="4" t="s">
        <v>717</v>
      </c>
      <c r="E1081" s="4" t="s">
        <v>718</v>
      </c>
      <c r="F1081" s="4" t="s">
        <v>175</v>
      </c>
      <c r="G1081" s="4" t="s">
        <v>408</v>
      </c>
      <c r="H1081" s="5">
        <f>ROUND(10064,0)</f>
        <v>10064</v>
      </c>
      <c r="I1081" s="6">
        <f>ROUND(11964,2)</f>
        <v>11964</v>
      </c>
      <c r="J1081" s="6">
        <f>ROUND(0.59923836,2)</f>
        <v>0.6</v>
      </c>
      <c r="K1081" s="5">
        <f>ROUND(721517.12,0)</f>
        <v>721517</v>
      </c>
      <c r="L1081" s="7">
        <f>ROUND(0.000250757989964737,4)</f>
        <v>2.9999999999999997E-4</v>
      </c>
    </row>
    <row r="1082" spans="1:12">
      <c r="A1082" s="3" t="s">
        <v>2261</v>
      </c>
      <c r="B1082" s="4" t="s">
        <v>2262</v>
      </c>
      <c r="C1082" s="4" t="s">
        <v>445</v>
      </c>
      <c r="D1082" s="4" t="s">
        <v>407</v>
      </c>
      <c r="E1082" s="4" t="s">
        <v>35</v>
      </c>
      <c r="F1082" s="4" t="s">
        <v>21</v>
      </c>
      <c r="G1082" s="4" t="s">
        <v>408</v>
      </c>
      <c r="H1082" s="5">
        <f>ROUND(1069,0)</f>
        <v>1069</v>
      </c>
      <c r="I1082" s="6">
        <f>ROUND(74.23,2)</f>
        <v>74.23</v>
      </c>
      <c r="J1082" s="6">
        <f>ROUND(9.08595,2)</f>
        <v>9.09</v>
      </c>
      <c r="K1082" s="5">
        <f>ROUND(720987.12,0)</f>
        <v>720987</v>
      </c>
      <c r="L1082" s="7">
        <f>ROUND(0.000250573792346971,4)</f>
        <v>2.9999999999999997E-4</v>
      </c>
    </row>
    <row r="1083" spans="1:12">
      <c r="A1083" s="3" t="s">
        <v>2263</v>
      </c>
      <c r="B1083" s="4" t="s">
        <v>2264</v>
      </c>
      <c r="C1083" s="4" t="s">
        <v>389</v>
      </c>
      <c r="D1083" s="4" t="s">
        <v>407</v>
      </c>
      <c r="E1083" s="4" t="s">
        <v>35</v>
      </c>
      <c r="F1083" s="4" t="s">
        <v>21</v>
      </c>
      <c r="G1083" s="4" t="s">
        <v>408</v>
      </c>
      <c r="H1083" s="5">
        <f>ROUND(900,0)</f>
        <v>900</v>
      </c>
      <c r="I1083" s="6">
        <f>ROUND(88,2)</f>
        <v>88</v>
      </c>
      <c r="J1083" s="6">
        <f>ROUND(9.08595,2)</f>
        <v>9.09</v>
      </c>
      <c r="K1083" s="5">
        <f>ROUND(719607.24,0)</f>
        <v>719607</v>
      </c>
      <c r="L1083" s="7">
        <f>ROUND(0.00025009422516055,4)</f>
        <v>2.9999999999999997E-4</v>
      </c>
    </row>
    <row r="1084" spans="1:12">
      <c r="A1084" s="3" t="s">
        <v>2265</v>
      </c>
      <c r="B1084" s="4" t="s">
        <v>2266</v>
      </c>
      <c r="C1084" s="4" t="s">
        <v>445</v>
      </c>
      <c r="D1084" s="4" t="s">
        <v>789</v>
      </c>
      <c r="E1084" s="4" t="s">
        <v>790</v>
      </c>
      <c r="F1084" s="4" t="s">
        <v>791</v>
      </c>
      <c r="G1084" s="4" t="s">
        <v>408</v>
      </c>
      <c r="H1084" s="5">
        <f>ROUND(14393,0)</f>
        <v>14393</v>
      </c>
      <c r="I1084" s="6">
        <f>ROUND(389.45,2)</f>
        <v>389.45</v>
      </c>
      <c r="J1084" s="6">
        <f>ROUND(0.12820804,2)</f>
        <v>0.13</v>
      </c>
      <c r="K1084" s="5">
        <f>ROUND(718651.43,0)</f>
        <v>718651</v>
      </c>
      <c r="L1084" s="7">
        <f>ROUND(0.00024976204039633,4)</f>
        <v>2.0000000000000001E-4</v>
      </c>
    </row>
    <row r="1085" spans="1:12">
      <c r="A1085" s="3" t="s">
        <v>2267</v>
      </c>
      <c r="B1085" s="4" t="s">
        <v>2268</v>
      </c>
      <c r="C1085" s="4" t="s">
        <v>545</v>
      </c>
      <c r="D1085" s="4" t="s">
        <v>541</v>
      </c>
      <c r="E1085" s="4" t="s">
        <v>542</v>
      </c>
      <c r="F1085" s="4" t="s">
        <v>18</v>
      </c>
      <c r="G1085" s="4" t="s">
        <v>408</v>
      </c>
      <c r="H1085" s="5">
        <f>ROUND(1597,0)</f>
        <v>1597</v>
      </c>
      <c r="I1085" s="6">
        <f>ROUND(45.4,2)</f>
        <v>45.4</v>
      </c>
      <c r="J1085" s="6">
        <f>ROUND(9.9055,2)</f>
        <v>9.91</v>
      </c>
      <c r="K1085" s="5">
        <f>ROUND(718186.39,0)</f>
        <v>718186</v>
      </c>
      <c r="L1085" s="7">
        <f>ROUND(0.000249600419150734,4)</f>
        <v>2.0000000000000001E-4</v>
      </c>
    </row>
    <row r="1086" spans="1:12">
      <c r="A1086" s="3" t="s">
        <v>2269</v>
      </c>
      <c r="B1086" s="4" t="s">
        <v>2270</v>
      </c>
      <c r="C1086" s="4" t="s">
        <v>389</v>
      </c>
      <c r="D1086" s="4" t="s">
        <v>2271</v>
      </c>
      <c r="E1086" s="4" t="s">
        <v>2272</v>
      </c>
      <c r="F1086" s="4" t="s">
        <v>20</v>
      </c>
      <c r="G1086" s="4" t="s">
        <v>408</v>
      </c>
      <c r="H1086" s="5">
        <f>ROUND(8627,0)</f>
        <v>8627</v>
      </c>
      <c r="I1086" s="6">
        <f>ROUND(743.4,2)</f>
        <v>743.4</v>
      </c>
      <c r="J1086" s="6">
        <f>ROUND(11.19645077,2)</f>
        <v>11.2</v>
      </c>
      <c r="K1086" s="5">
        <f>ROUND(718063.32,0)</f>
        <v>718063</v>
      </c>
      <c r="L1086" s="7">
        <f>ROUND(0.000249557647073718,4)</f>
        <v>2.0000000000000001E-4</v>
      </c>
    </row>
    <row r="1087" spans="1:12">
      <c r="A1087" s="3" t="s">
        <v>2273</v>
      </c>
      <c r="B1087" s="4" t="s">
        <v>2274</v>
      </c>
      <c r="C1087" s="4" t="s">
        <v>400</v>
      </c>
      <c r="D1087" s="4" t="s">
        <v>739</v>
      </c>
      <c r="E1087" s="4" t="s">
        <v>740</v>
      </c>
      <c r="F1087" s="4" t="s">
        <v>741</v>
      </c>
      <c r="G1087" s="4" t="s">
        <v>408</v>
      </c>
      <c r="H1087" s="5">
        <f>ROUND(2680,0)</f>
        <v>2680</v>
      </c>
      <c r="I1087" s="6">
        <f>ROUND(35250,2)</f>
        <v>35250</v>
      </c>
      <c r="J1087" s="6">
        <f>ROUND(0.00759599,2)</f>
        <v>0.01</v>
      </c>
      <c r="K1087" s="5">
        <f>ROUND(717593.18,0)</f>
        <v>717593</v>
      </c>
      <c r="L1087" s="7">
        <f>ROUND(0.000249394253360479,4)</f>
        <v>2.0000000000000001E-4</v>
      </c>
    </row>
    <row r="1088" spans="1:12">
      <c r="A1088" s="3" t="s">
        <v>2275</v>
      </c>
      <c r="B1088" s="4" t="s">
        <v>2276</v>
      </c>
      <c r="C1088" s="4" t="s">
        <v>534</v>
      </c>
      <c r="D1088" s="4" t="s">
        <v>2277</v>
      </c>
      <c r="E1088" s="4" t="s">
        <v>2278</v>
      </c>
      <c r="F1088" s="4" t="s">
        <v>38</v>
      </c>
      <c r="G1088" s="4" t="s">
        <v>408</v>
      </c>
      <c r="H1088" s="5">
        <f>ROUND(23498,0)</f>
        <v>23498</v>
      </c>
      <c r="I1088" s="6">
        <f>ROUND(18.91,2)</f>
        <v>18.91</v>
      </c>
      <c r="J1088" s="6">
        <f>ROUND(1.60912955,2)</f>
        <v>1.61</v>
      </c>
      <c r="K1088" s="5">
        <f>ROUND(715012.18,0)</f>
        <v>715012</v>
      </c>
      <c r="L1088" s="7">
        <f>ROUND(0.000248497245716227,4)</f>
        <v>2.0000000000000001E-4</v>
      </c>
    </row>
    <row r="1089" spans="1:12">
      <c r="A1089" s="3" t="s">
        <v>2279</v>
      </c>
      <c r="B1089" s="4" t="s">
        <v>2280</v>
      </c>
      <c r="C1089" s="4" t="s">
        <v>534</v>
      </c>
      <c r="D1089" s="4" t="s">
        <v>489</v>
      </c>
      <c r="E1089" s="4" t="s">
        <v>490</v>
      </c>
      <c r="F1089" s="4" t="s">
        <v>45</v>
      </c>
      <c r="G1089" s="4" t="s">
        <v>408</v>
      </c>
      <c r="H1089" s="5">
        <f>ROUND(7300,0)</f>
        <v>7300</v>
      </c>
      <c r="I1089" s="6">
        <f>ROUND(1164,2)</f>
        <v>1164</v>
      </c>
      <c r="J1089" s="6">
        <f>ROUND(8.407077,2)</f>
        <v>8.41</v>
      </c>
      <c r="K1089" s="5">
        <f>ROUND(714366.15,0)</f>
        <v>714366</v>
      </c>
      <c r="L1089" s="7">
        <f>ROUND(0.000248272722721877,4)</f>
        <v>2.0000000000000001E-4</v>
      </c>
    </row>
    <row r="1090" spans="1:12">
      <c r="A1090" s="3" t="s">
        <v>2281</v>
      </c>
      <c r="B1090" s="4" t="s">
        <v>2282</v>
      </c>
      <c r="C1090" s="4" t="s">
        <v>400</v>
      </c>
      <c r="D1090" s="4" t="s">
        <v>623</v>
      </c>
      <c r="E1090" s="4" t="s">
        <v>624</v>
      </c>
      <c r="F1090" s="4" t="s">
        <v>18</v>
      </c>
      <c r="G1090" s="4" t="s">
        <v>408</v>
      </c>
      <c r="H1090" s="5">
        <f>ROUND(1207,0)</f>
        <v>1207</v>
      </c>
      <c r="I1090" s="6">
        <f>ROUND(59.62,2)</f>
        <v>59.62</v>
      </c>
      <c r="J1090" s="6">
        <f>ROUND(9.9055,2)</f>
        <v>9.91</v>
      </c>
      <c r="K1090" s="5">
        <f>ROUND(712813.05,0)</f>
        <v>712813</v>
      </c>
      <c r="L1090" s="7">
        <f>ROUND(0.000247732954193288,4)</f>
        <v>2.0000000000000001E-4</v>
      </c>
    </row>
    <row r="1091" spans="1:12">
      <c r="A1091" s="3" t="s">
        <v>2283</v>
      </c>
      <c r="B1091" s="4" t="s">
        <v>2284</v>
      </c>
      <c r="C1091" s="4" t="s">
        <v>422</v>
      </c>
      <c r="D1091" s="4" t="s">
        <v>486</v>
      </c>
      <c r="E1091" s="4" t="s">
        <v>30</v>
      </c>
      <c r="F1091" s="4" t="s">
        <v>20</v>
      </c>
      <c r="G1091" s="4" t="s">
        <v>408</v>
      </c>
      <c r="H1091" s="5">
        <f>ROUND(2751,0)</f>
        <v>2751</v>
      </c>
      <c r="I1091" s="6">
        <f>ROUND(2303,2)</f>
        <v>2303</v>
      </c>
      <c r="J1091" s="6">
        <f>ROUND(11.19645077,2)</f>
        <v>11.2</v>
      </c>
      <c r="K1091" s="5">
        <f>ROUND(709357.07,0)</f>
        <v>709357</v>
      </c>
      <c r="L1091" s="7">
        <f>ROUND(0.000246531853659238,4)</f>
        <v>2.0000000000000001E-4</v>
      </c>
    </row>
    <row r="1092" spans="1:12">
      <c r="A1092" s="3" t="s">
        <v>2285</v>
      </c>
      <c r="B1092" s="4" t="s">
        <v>2286</v>
      </c>
      <c r="C1092" s="4" t="s">
        <v>406</v>
      </c>
      <c r="D1092" s="4" t="s">
        <v>401</v>
      </c>
      <c r="E1092" s="4" t="s">
        <v>402</v>
      </c>
      <c r="F1092" s="4" t="s">
        <v>403</v>
      </c>
      <c r="G1092" s="4" t="s">
        <v>408</v>
      </c>
      <c r="H1092" s="5">
        <f>ROUND(308000,0)</f>
        <v>308000</v>
      </c>
      <c r="I1092" s="6">
        <f>ROUND(7.86,2)</f>
        <v>7.86</v>
      </c>
      <c r="J1092" s="6">
        <f>ROUND(0.29286371,2)</f>
        <v>0.28999999999999998</v>
      </c>
      <c r="K1092" s="5">
        <f>ROUND(708987.9,0)</f>
        <v>708988</v>
      </c>
      <c r="L1092" s="7">
        <f>ROUND(0.000246403551329897,4)</f>
        <v>2.0000000000000001E-4</v>
      </c>
    </row>
    <row r="1093" spans="1:12">
      <c r="A1093" s="3" t="s">
        <v>2287</v>
      </c>
      <c r="B1093" s="4" t="s">
        <v>2288</v>
      </c>
      <c r="C1093" s="4" t="s">
        <v>400</v>
      </c>
      <c r="D1093" s="4" t="s">
        <v>717</v>
      </c>
      <c r="E1093" s="4" t="s">
        <v>718</v>
      </c>
      <c r="F1093" s="4" t="s">
        <v>175</v>
      </c>
      <c r="G1093" s="4" t="s">
        <v>408</v>
      </c>
      <c r="H1093" s="5">
        <f>ROUND(61082,0)</f>
        <v>61082</v>
      </c>
      <c r="I1093" s="6">
        <f>ROUND(1933,2)</f>
        <v>1933</v>
      </c>
      <c r="J1093" s="6">
        <f>ROUND(0.59923836,2)</f>
        <v>0.6</v>
      </c>
      <c r="K1093" s="5">
        <f>ROUND(707529.76,0)</f>
        <v>707530</v>
      </c>
      <c r="L1093" s="7">
        <f>ROUND(0.000245896785453729,4)</f>
        <v>2.0000000000000001E-4</v>
      </c>
    </row>
    <row r="1094" spans="1:12">
      <c r="A1094" s="3" t="s">
        <v>2289</v>
      </c>
      <c r="B1094" s="4" t="s">
        <v>2290</v>
      </c>
      <c r="C1094" s="4" t="s">
        <v>415</v>
      </c>
      <c r="D1094" s="4" t="s">
        <v>541</v>
      </c>
      <c r="E1094" s="4" t="s">
        <v>542</v>
      </c>
      <c r="F1094" s="4" t="s">
        <v>18</v>
      </c>
      <c r="G1094" s="4" t="s">
        <v>408</v>
      </c>
      <c r="H1094" s="5">
        <f>ROUND(1132,0)</f>
        <v>1132</v>
      </c>
      <c r="I1094" s="6">
        <f>ROUND(63,2)</f>
        <v>63</v>
      </c>
      <c r="J1094" s="6">
        <f>ROUND(9.9055,2)</f>
        <v>9.91</v>
      </c>
      <c r="K1094" s="5">
        <f>ROUND(706420.64,0)</f>
        <v>706421</v>
      </c>
      <c r="L1094" s="7">
        <f>ROUND(0.000245511318922,4)</f>
        <v>2.0000000000000001E-4</v>
      </c>
    </row>
    <row r="1095" spans="1:12">
      <c r="A1095" s="3" t="s">
        <v>2291</v>
      </c>
      <c r="B1095" s="4" t="s">
        <v>2292</v>
      </c>
      <c r="C1095" s="4" t="s">
        <v>534</v>
      </c>
      <c r="D1095" s="4" t="s">
        <v>489</v>
      </c>
      <c r="E1095" s="4" t="s">
        <v>490</v>
      </c>
      <c r="F1095" s="4" t="s">
        <v>45</v>
      </c>
      <c r="G1095" s="4" t="s">
        <v>408</v>
      </c>
      <c r="H1095" s="5">
        <f>ROUND(2400,0)</f>
        <v>2400</v>
      </c>
      <c r="I1095" s="6">
        <f>ROUND(3500,2)</f>
        <v>3500</v>
      </c>
      <c r="J1095" s="6">
        <f>ROUND(8.407077,2)</f>
        <v>8.41</v>
      </c>
      <c r="K1095" s="5">
        <f>ROUND(706194.47,0)</f>
        <v>706194</v>
      </c>
      <c r="L1095" s="7">
        <f>ROUND(0.000245432715195188,4)</f>
        <v>2.0000000000000001E-4</v>
      </c>
    </row>
    <row r="1096" spans="1:12">
      <c r="A1096" s="3" t="s">
        <v>2293</v>
      </c>
      <c r="B1096" s="4" t="s">
        <v>2294</v>
      </c>
      <c r="C1096" s="4" t="s">
        <v>493</v>
      </c>
      <c r="D1096" s="4" t="s">
        <v>541</v>
      </c>
      <c r="E1096" s="4" t="s">
        <v>542</v>
      </c>
      <c r="F1096" s="4" t="s">
        <v>18</v>
      </c>
      <c r="G1096" s="4" t="s">
        <v>408</v>
      </c>
      <c r="H1096" s="5">
        <f>ROUND(1596,0)</f>
        <v>1596</v>
      </c>
      <c r="I1096" s="6">
        <f>ROUND(44.66,2)</f>
        <v>44.66</v>
      </c>
      <c r="J1096" s="6">
        <f>ROUND(9.9055,2)</f>
        <v>9.91</v>
      </c>
      <c r="K1096" s="5">
        <f>ROUND(706037.89,0)</f>
        <v>706038</v>
      </c>
      <c r="L1096" s="7">
        <f>ROUND(0.000245378296963132,4)</f>
        <v>2.0000000000000001E-4</v>
      </c>
    </row>
    <row r="1097" spans="1:12">
      <c r="A1097" s="3" t="s">
        <v>2295</v>
      </c>
      <c r="B1097" s="4" t="s">
        <v>2296</v>
      </c>
      <c r="C1097" s="4" t="s">
        <v>545</v>
      </c>
      <c r="D1097" s="4" t="s">
        <v>407</v>
      </c>
      <c r="E1097" s="4" t="s">
        <v>35</v>
      </c>
      <c r="F1097" s="4" t="s">
        <v>21</v>
      </c>
      <c r="G1097" s="4" t="s">
        <v>408</v>
      </c>
      <c r="H1097" s="5">
        <f>ROUND(3790,0)</f>
        <v>3790</v>
      </c>
      <c r="I1097" s="6">
        <f>ROUND(20.5,2)</f>
        <v>20.5</v>
      </c>
      <c r="J1097" s="6">
        <f>ROUND(9.08595,2)</f>
        <v>9.09</v>
      </c>
      <c r="K1097" s="5">
        <f>ROUND(705932.89,0)</f>
        <v>705933</v>
      </c>
      <c r="L1097" s="7">
        <f>ROUND(0.000245341804982254,4)</f>
        <v>2.0000000000000001E-4</v>
      </c>
    </row>
    <row r="1098" spans="1:12">
      <c r="A1098" s="3" t="s">
        <v>2297</v>
      </c>
      <c r="B1098" s="4" t="s">
        <v>2298</v>
      </c>
      <c r="C1098" s="4" t="s">
        <v>415</v>
      </c>
      <c r="D1098" s="4" t="s">
        <v>390</v>
      </c>
      <c r="E1098" s="4" t="s">
        <v>391</v>
      </c>
      <c r="F1098" s="4" t="s">
        <v>72</v>
      </c>
      <c r="G1098" s="4" t="s">
        <v>408</v>
      </c>
      <c r="H1098" s="5">
        <f>ROUND(32773,0)</f>
        <v>32773</v>
      </c>
      <c r="I1098" s="6">
        <f>ROUND(3.51,2)</f>
        <v>3.51</v>
      </c>
      <c r="J1098" s="6">
        <f>ROUND(6.12812423,2)</f>
        <v>6.13</v>
      </c>
      <c r="K1098" s="5">
        <f>ROUND(704937.92,0)</f>
        <v>704938</v>
      </c>
      <c r="L1098" s="7">
        <f>ROUND(0.000244996010446879,4)</f>
        <v>2.0000000000000001E-4</v>
      </c>
    </row>
    <row r="1099" spans="1:12">
      <c r="A1099" s="3" t="s">
        <v>2299</v>
      </c>
      <c r="B1099" s="4" t="s">
        <v>2300</v>
      </c>
      <c r="C1099" s="4" t="s">
        <v>534</v>
      </c>
      <c r="D1099" s="4" t="s">
        <v>489</v>
      </c>
      <c r="E1099" s="4" t="s">
        <v>490</v>
      </c>
      <c r="F1099" s="4" t="s">
        <v>45</v>
      </c>
      <c r="G1099" s="4" t="s">
        <v>408</v>
      </c>
      <c r="H1099" s="5">
        <f>ROUND(3000,0)</f>
        <v>3000</v>
      </c>
      <c r="I1099" s="6">
        <f>ROUND(2791,2)</f>
        <v>2791</v>
      </c>
      <c r="J1099" s="6">
        <f>ROUND(8.407077,2)</f>
        <v>8.41</v>
      </c>
      <c r="K1099" s="5">
        <f>ROUND(703924.56,0)</f>
        <v>703925</v>
      </c>
      <c r="L1099" s="7">
        <f>ROUND(0.000244643824601711,4)</f>
        <v>2.0000000000000001E-4</v>
      </c>
    </row>
    <row r="1100" spans="1:12">
      <c r="A1100" s="3" t="s">
        <v>2301</v>
      </c>
      <c r="B1100" s="4" t="s">
        <v>2302</v>
      </c>
      <c r="C1100" s="4" t="s">
        <v>545</v>
      </c>
      <c r="D1100" s="4" t="s">
        <v>739</v>
      </c>
      <c r="E1100" s="4" t="s">
        <v>740</v>
      </c>
      <c r="F1100" s="4" t="s">
        <v>741</v>
      </c>
      <c r="G1100" s="4" t="s">
        <v>408</v>
      </c>
      <c r="H1100" s="5">
        <f>ROUND(2374,0)</f>
        <v>2374</v>
      </c>
      <c r="I1100" s="6">
        <f>ROUND(38900,2)</f>
        <v>38900</v>
      </c>
      <c r="J1100" s="6">
        <f>ROUND(0.00759599,2)</f>
        <v>0.01</v>
      </c>
      <c r="K1100" s="5">
        <f>ROUND(701479.04,0)</f>
        <v>701479</v>
      </c>
      <c r="L1100" s="7">
        <f>ROUND(0.000243793902039071,4)</f>
        <v>2.0000000000000001E-4</v>
      </c>
    </row>
    <row r="1101" spans="1:12">
      <c r="A1101" s="3" t="s">
        <v>2303</v>
      </c>
      <c r="B1101" s="4" t="s">
        <v>2304</v>
      </c>
      <c r="C1101" s="4" t="s">
        <v>400</v>
      </c>
      <c r="D1101" s="4" t="s">
        <v>390</v>
      </c>
      <c r="E1101" s="4" t="s">
        <v>391</v>
      </c>
      <c r="F1101" s="4" t="s">
        <v>72</v>
      </c>
      <c r="G1101" s="4" t="s">
        <v>408</v>
      </c>
      <c r="H1101" s="5">
        <f>ROUND(1410,0)</f>
        <v>1410</v>
      </c>
      <c r="I1101" s="6">
        <f>ROUND(81.07,2)</f>
        <v>81.069999999999993</v>
      </c>
      <c r="J1101" s="6">
        <f>ROUND(6.12812423,2)</f>
        <v>6.13</v>
      </c>
      <c r="K1101" s="5">
        <f>ROUND(700497.91,0)</f>
        <v>700498</v>
      </c>
      <c r="L1101" s="7">
        <f>ROUND(0.000243452917494319,4)</f>
        <v>2.0000000000000001E-4</v>
      </c>
    </row>
    <row r="1102" spans="1:12">
      <c r="A1102" s="3" t="s">
        <v>2305</v>
      </c>
      <c r="B1102" s="4" t="s">
        <v>2306</v>
      </c>
      <c r="C1102" s="4" t="s">
        <v>534</v>
      </c>
      <c r="D1102" s="4" t="s">
        <v>552</v>
      </c>
      <c r="E1102" s="4" t="s">
        <v>553</v>
      </c>
      <c r="F1102" s="4" t="s">
        <v>26</v>
      </c>
      <c r="G1102" s="4" t="s">
        <v>408</v>
      </c>
      <c r="H1102" s="5">
        <f>ROUND(61000,0)</f>
        <v>61000</v>
      </c>
      <c r="I1102" s="6">
        <f>ROUND(9.9,2)</f>
        <v>9.9</v>
      </c>
      <c r="J1102" s="6">
        <f>ROUND(1.15901246,2)</f>
        <v>1.1599999999999999</v>
      </c>
      <c r="K1102" s="5">
        <f>ROUND(699927.62,0)</f>
        <v>699928</v>
      </c>
      <c r="L1102" s="7">
        <f>ROUND(0.000243254717382176,4)</f>
        <v>2.0000000000000001E-4</v>
      </c>
    </row>
    <row r="1103" spans="1:12">
      <c r="A1103" s="3" t="s">
        <v>2307</v>
      </c>
      <c r="B1103" s="4" t="s">
        <v>2308</v>
      </c>
      <c r="C1103" s="4" t="s">
        <v>566</v>
      </c>
      <c r="D1103" s="4" t="s">
        <v>489</v>
      </c>
      <c r="E1103" s="4" t="s">
        <v>490</v>
      </c>
      <c r="F1103" s="4" t="s">
        <v>45</v>
      </c>
      <c r="G1103" s="4" t="s">
        <v>408</v>
      </c>
      <c r="H1103" s="5">
        <f>ROUND(10,0)</f>
        <v>10</v>
      </c>
      <c r="I1103" s="6">
        <f>ROUND(830000,2)</f>
        <v>830000</v>
      </c>
      <c r="J1103" s="6">
        <f>ROUND(8.407077,2)</f>
        <v>8.41</v>
      </c>
      <c r="K1103" s="5">
        <f>ROUND(697787.39,0)</f>
        <v>697787</v>
      </c>
      <c r="L1103" s="7">
        <f>ROUND(0.000242510896122797,4)</f>
        <v>2.0000000000000001E-4</v>
      </c>
    </row>
    <row r="1104" spans="1:12">
      <c r="A1104" s="3" t="s">
        <v>2309</v>
      </c>
      <c r="B1104" s="4" t="s">
        <v>2310</v>
      </c>
      <c r="C1104" s="4" t="s">
        <v>493</v>
      </c>
      <c r="D1104" s="4" t="s">
        <v>489</v>
      </c>
      <c r="E1104" s="4" t="s">
        <v>490</v>
      </c>
      <c r="F1104" s="4" t="s">
        <v>45</v>
      </c>
      <c r="G1104" s="4" t="s">
        <v>408</v>
      </c>
      <c r="H1104" s="5">
        <f>ROUND(5300,0)</f>
        <v>5300</v>
      </c>
      <c r="I1104" s="6">
        <f>ROUND(1565,2)</f>
        <v>1565</v>
      </c>
      <c r="J1104" s="6">
        <f>ROUND(8.407077,2)</f>
        <v>8.41</v>
      </c>
      <c r="K1104" s="5">
        <f>ROUND(697325,0)</f>
        <v>697325</v>
      </c>
      <c r="L1104" s="7">
        <f>ROUND(0.00024235019586529,4)</f>
        <v>2.0000000000000001E-4</v>
      </c>
    </row>
    <row r="1105" spans="1:12">
      <c r="A1105" s="3" t="s">
        <v>2311</v>
      </c>
      <c r="B1105" s="4" t="s">
        <v>2312</v>
      </c>
      <c r="C1105" s="4" t="s">
        <v>566</v>
      </c>
      <c r="D1105" s="4" t="s">
        <v>489</v>
      </c>
      <c r="E1105" s="4" t="s">
        <v>490</v>
      </c>
      <c r="F1105" s="4" t="s">
        <v>45</v>
      </c>
      <c r="G1105" s="4" t="s">
        <v>408</v>
      </c>
      <c r="H1105" s="5">
        <f>ROUND(600,0)</f>
        <v>600</v>
      </c>
      <c r="I1105" s="6">
        <f>ROUND(13810,2)</f>
        <v>13810</v>
      </c>
      <c r="J1105" s="6">
        <f>ROUND(8.407077,2)</f>
        <v>8.41</v>
      </c>
      <c r="K1105" s="5">
        <f>ROUND(696610.4,0)</f>
        <v>696610</v>
      </c>
      <c r="L1105" s="7">
        <f>ROUND(0.000242101841869713,4)</f>
        <v>2.0000000000000001E-4</v>
      </c>
    </row>
    <row r="1106" spans="1:12">
      <c r="A1106" s="3" t="s">
        <v>2313</v>
      </c>
      <c r="B1106" s="4" t="s">
        <v>2314</v>
      </c>
      <c r="C1106" s="4" t="s">
        <v>534</v>
      </c>
      <c r="D1106" s="4" t="s">
        <v>407</v>
      </c>
      <c r="E1106" s="4" t="s">
        <v>35</v>
      </c>
      <c r="F1106" s="4" t="s">
        <v>21</v>
      </c>
      <c r="G1106" s="4" t="s">
        <v>408</v>
      </c>
      <c r="H1106" s="5">
        <f>ROUND(900,0)</f>
        <v>900</v>
      </c>
      <c r="I1106" s="6">
        <f>ROUND(84.78,2)</f>
        <v>84.78</v>
      </c>
      <c r="J1106" s="6">
        <f>ROUND(9.08595,2)</f>
        <v>9.09</v>
      </c>
      <c r="K1106" s="5">
        <f>ROUND(693276.16,0)</f>
        <v>693276</v>
      </c>
      <c r="L1106" s="7">
        <f>ROUND(0.000240943051180921,4)</f>
        <v>2.0000000000000001E-4</v>
      </c>
    </row>
    <row r="1107" spans="1:12">
      <c r="A1107" s="3" t="s">
        <v>2315</v>
      </c>
      <c r="B1107" s="4" t="s">
        <v>2316</v>
      </c>
      <c r="C1107" s="4" t="s">
        <v>545</v>
      </c>
      <c r="D1107" s="4" t="s">
        <v>489</v>
      </c>
      <c r="E1107" s="4" t="s">
        <v>490</v>
      </c>
      <c r="F1107" s="4" t="s">
        <v>45</v>
      </c>
      <c r="G1107" s="4" t="s">
        <v>408</v>
      </c>
      <c r="H1107" s="5">
        <f>ROUND(10700,0)</f>
        <v>10700</v>
      </c>
      <c r="I1107" s="6">
        <f>ROUND(770.1,2)</f>
        <v>770.1</v>
      </c>
      <c r="J1107" s="6">
        <f>ROUND(8.407077,2)</f>
        <v>8.41</v>
      </c>
      <c r="K1107" s="5">
        <f>ROUND(692749.03,0)</f>
        <v>692749</v>
      </c>
      <c r="L1107" s="7">
        <f>ROUND(0.000240759851010633,4)</f>
        <v>2.0000000000000001E-4</v>
      </c>
    </row>
    <row r="1108" spans="1:12">
      <c r="A1108" s="3" t="s">
        <v>2317</v>
      </c>
      <c r="B1108" s="4" t="s">
        <v>2318</v>
      </c>
      <c r="C1108" s="4" t="s">
        <v>406</v>
      </c>
      <c r="D1108" s="4" t="s">
        <v>1217</v>
      </c>
      <c r="E1108" s="4" t="s">
        <v>1218</v>
      </c>
      <c r="F1108" s="4" t="s">
        <v>21</v>
      </c>
      <c r="G1108" s="4" t="s">
        <v>408</v>
      </c>
      <c r="H1108" s="5">
        <f>ROUND(3051,0)</f>
        <v>3051</v>
      </c>
      <c r="I1108" s="6">
        <f>ROUND(24.97,2)</f>
        <v>24.97</v>
      </c>
      <c r="J1108" s="6">
        <f>ROUND(9.08595,2)</f>
        <v>9.09</v>
      </c>
      <c r="K1108" s="5">
        <f>ROUND(692199.2,0)</f>
        <v>692199</v>
      </c>
      <c r="L1108" s="7">
        <f>ROUND(0.000240568761621621,4)</f>
        <v>2.0000000000000001E-4</v>
      </c>
    </row>
    <row r="1109" spans="1:12">
      <c r="A1109" s="3" t="s">
        <v>2319</v>
      </c>
      <c r="B1109" s="4" t="s">
        <v>2320</v>
      </c>
      <c r="C1109" s="4" t="s">
        <v>545</v>
      </c>
      <c r="D1109" s="4" t="s">
        <v>407</v>
      </c>
      <c r="E1109" s="4" t="s">
        <v>35</v>
      </c>
      <c r="F1109" s="4" t="s">
        <v>21</v>
      </c>
      <c r="G1109" s="4" t="s">
        <v>408</v>
      </c>
      <c r="H1109" s="5">
        <f>ROUND(1158,0)</f>
        <v>1158</v>
      </c>
      <c r="I1109" s="6">
        <f>ROUND(65.52,2)</f>
        <v>65.52</v>
      </c>
      <c r="J1109" s="6">
        <f>ROUND(9.08595,2)</f>
        <v>9.09</v>
      </c>
      <c r="K1109" s="5">
        <f>ROUND(689370.65,0)</f>
        <v>689371</v>
      </c>
      <c r="L1109" s="7">
        <f>ROUND(0.000239585719788165,4)</f>
        <v>2.0000000000000001E-4</v>
      </c>
    </row>
    <row r="1110" spans="1:12">
      <c r="A1110" s="3" t="s">
        <v>2321</v>
      </c>
      <c r="B1110" s="4" t="s">
        <v>2322</v>
      </c>
      <c r="C1110" s="4" t="s">
        <v>445</v>
      </c>
      <c r="D1110" s="4" t="s">
        <v>569</v>
      </c>
      <c r="E1110" s="4" t="s">
        <v>570</v>
      </c>
      <c r="F1110" s="4" t="s">
        <v>19</v>
      </c>
      <c r="G1110" s="4" t="s">
        <v>408</v>
      </c>
      <c r="H1110" s="5">
        <f>ROUND(629,0)</f>
        <v>629</v>
      </c>
      <c r="I1110" s="6">
        <f>ROUND(825,2)</f>
        <v>825</v>
      </c>
      <c r="J1110" s="6">
        <f>ROUND(1.3267035,2)</f>
        <v>1.33</v>
      </c>
      <c r="K1110" s="5">
        <f>ROUND(688459.61,0)</f>
        <v>688460</v>
      </c>
      <c r="L1110" s="7">
        <f>ROUND(0.000239269094509506,4)</f>
        <v>2.0000000000000001E-4</v>
      </c>
    </row>
    <row r="1111" spans="1:12">
      <c r="A1111" s="3" t="s">
        <v>2323</v>
      </c>
      <c r="B1111" s="4" t="s">
        <v>2324</v>
      </c>
      <c r="C1111" s="4" t="s">
        <v>389</v>
      </c>
      <c r="D1111" s="4" t="s">
        <v>407</v>
      </c>
      <c r="E1111" s="4" t="s">
        <v>35</v>
      </c>
      <c r="F1111" s="4" t="s">
        <v>21</v>
      </c>
      <c r="G1111" s="4" t="s">
        <v>408</v>
      </c>
      <c r="H1111" s="5">
        <f>ROUND(742,0)</f>
        <v>742</v>
      </c>
      <c r="I1111" s="6">
        <f>ROUND(101.76,2)</f>
        <v>101.76</v>
      </c>
      <c r="J1111" s="6">
        <f>ROUND(9.08595,2)</f>
        <v>9.09</v>
      </c>
      <c r="K1111" s="5">
        <f>ROUND(686043.01,0)</f>
        <v>686043</v>
      </c>
      <c r="L1111" s="7">
        <f>ROUND(0.000238429222881028,4)</f>
        <v>2.0000000000000001E-4</v>
      </c>
    </row>
    <row r="1112" spans="1:12">
      <c r="A1112" s="3" t="s">
        <v>2325</v>
      </c>
      <c r="B1112" s="4" t="s">
        <v>2326</v>
      </c>
      <c r="C1112" s="4" t="s">
        <v>545</v>
      </c>
      <c r="D1112" s="4" t="s">
        <v>2327</v>
      </c>
      <c r="E1112" s="4" t="s">
        <v>2328</v>
      </c>
      <c r="F1112" s="4" t="s">
        <v>18</v>
      </c>
      <c r="G1112" s="4" t="s">
        <v>408</v>
      </c>
      <c r="H1112" s="5">
        <f>ROUND(3278,0)</f>
        <v>3278</v>
      </c>
      <c r="I1112" s="6">
        <f>ROUND(21.08,2)</f>
        <v>21.08</v>
      </c>
      <c r="J1112" s="6">
        <f>ROUND(9.9055,2)</f>
        <v>9.91</v>
      </c>
      <c r="K1112" s="5">
        <f>ROUND(684472.43,0)</f>
        <v>684472</v>
      </c>
      <c r="L1112" s="7">
        <f>ROUND(0.00023788337930648,4)</f>
        <v>2.0000000000000001E-4</v>
      </c>
    </row>
    <row r="1113" spans="1:12">
      <c r="A1113" s="3" t="s">
        <v>2329</v>
      </c>
      <c r="B1113" s="4" t="s">
        <v>2330</v>
      </c>
      <c r="C1113" s="4" t="s">
        <v>422</v>
      </c>
      <c r="D1113" s="4" t="s">
        <v>1217</v>
      </c>
      <c r="E1113" s="4" t="s">
        <v>1218</v>
      </c>
      <c r="F1113" s="4" t="s">
        <v>21</v>
      </c>
      <c r="G1113" s="4" t="s">
        <v>408</v>
      </c>
      <c r="H1113" s="5">
        <f>ROUND(1329,0)</f>
        <v>1329</v>
      </c>
      <c r="I1113" s="6">
        <f>ROUND(56.62,2)</f>
        <v>56.62</v>
      </c>
      <c r="J1113" s="6">
        <f>ROUND(9.08595,2)</f>
        <v>9.09</v>
      </c>
      <c r="K1113" s="5">
        <f>ROUND(683699.38,0)</f>
        <v>683699</v>
      </c>
      <c r="L1113" s="7">
        <f>ROUND(0.000237614711441548,4)</f>
        <v>2.0000000000000001E-4</v>
      </c>
    </row>
    <row r="1114" spans="1:12">
      <c r="A1114" s="3" t="s">
        <v>2331</v>
      </c>
      <c r="B1114" s="4" t="s">
        <v>2332</v>
      </c>
      <c r="C1114" s="4" t="s">
        <v>389</v>
      </c>
      <c r="D1114" s="4" t="s">
        <v>407</v>
      </c>
      <c r="E1114" s="4" t="s">
        <v>35</v>
      </c>
      <c r="F1114" s="4" t="s">
        <v>21</v>
      </c>
      <c r="G1114" s="4" t="s">
        <v>408</v>
      </c>
      <c r="H1114" s="5">
        <f>ROUND(2714,0)</f>
        <v>2714</v>
      </c>
      <c r="I1114" s="6">
        <f>ROUND(27.72,2)</f>
        <v>27.72</v>
      </c>
      <c r="J1114" s="6">
        <f>ROUND(9.08595,2)</f>
        <v>9.09</v>
      </c>
      <c r="K1114" s="5">
        <f>ROUND(683554.92,0)</f>
        <v>683555</v>
      </c>
      <c r="L1114" s="7">
        <f>ROUND(0.000237564505426713,4)</f>
        <v>2.0000000000000001E-4</v>
      </c>
    </row>
    <row r="1115" spans="1:12">
      <c r="A1115" s="3" t="s">
        <v>2333</v>
      </c>
      <c r="B1115" s="4" t="s">
        <v>2334</v>
      </c>
      <c r="C1115" s="4" t="s">
        <v>389</v>
      </c>
      <c r="D1115" s="4" t="s">
        <v>407</v>
      </c>
      <c r="E1115" s="4" t="s">
        <v>35</v>
      </c>
      <c r="F1115" s="4" t="s">
        <v>21</v>
      </c>
      <c r="G1115" s="4" t="s">
        <v>408</v>
      </c>
      <c r="H1115" s="5">
        <f>ROUND(300,0)</f>
        <v>300</v>
      </c>
      <c r="I1115" s="6">
        <f>ROUND(250.65,2)</f>
        <v>250.65</v>
      </c>
      <c r="J1115" s="6">
        <f>ROUND(9.08595,2)</f>
        <v>9.09</v>
      </c>
      <c r="K1115" s="5">
        <f>ROUND(683218.01,0)</f>
        <v>683218</v>
      </c>
      <c r="L1115" s="7">
        <f>ROUND(0.000237447414824068,4)</f>
        <v>2.0000000000000001E-4</v>
      </c>
    </row>
    <row r="1116" spans="1:12">
      <c r="A1116" s="3" t="s">
        <v>2335</v>
      </c>
      <c r="B1116" s="4" t="s">
        <v>2336</v>
      </c>
      <c r="C1116" s="4" t="s">
        <v>430</v>
      </c>
      <c r="D1116" s="4" t="s">
        <v>407</v>
      </c>
      <c r="E1116" s="4" t="s">
        <v>35</v>
      </c>
      <c r="F1116" s="4" t="s">
        <v>21</v>
      </c>
      <c r="G1116" s="4" t="s">
        <v>408</v>
      </c>
      <c r="H1116" s="5">
        <f>ROUND(1400,0)</f>
        <v>1400</v>
      </c>
      <c r="I1116" s="6">
        <f>ROUND(53.64,2)</f>
        <v>53.64</v>
      </c>
      <c r="J1116" s="6">
        <f>ROUND(9.08595,2)</f>
        <v>9.09</v>
      </c>
      <c r="K1116" s="5">
        <f>ROUND(682318.5,0)</f>
        <v>682319</v>
      </c>
      <c r="L1116" s="7">
        <f>ROUND(0.000237134796712452,4)</f>
        <v>2.0000000000000001E-4</v>
      </c>
    </row>
    <row r="1117" spans="1:12">
      <c r="A1117" s="3" t="s">
        <v>2337</v>
      </c>
      <c r="B1117" s="4" t="s">
        <v>2338</v>
      </c>
      <c r="C1117" s="4" t="s">
        <v>389</v>
      </c>
      <c r="D1117" s="4" t="s">
        <v>520</v>
      </c>
      <c r="E1117" s="4" t="s">
        <v>521</v>
      </c>
      <c r="F1117" s="4" t="s">
        <v>18</v>
      </c>
      <c r="G1117" s="4" t="s">
        <v>408</v>
      </c>
      <c r="H1117" s="5">
        <f>ROUND(1580,0)</f>
        <v>1580</v>
      </c>
      <c r="I1117" s="6">
        <f>ROUND(43.52,2)</f>
        <v>43.52</v>
      </c>
      <c r="J1117" s="6">
        <f>ROUND(9.9055,2)</f>
        <v>9.91</v>
      </c>
      <c r="K1117" s="5">
        <f>ROUND(681118.03,0)</f>
        <v>681118</v>
      </c>
      <c r="L1117" s="7">
        <f>ROUND(0.000236717582157359,4)</f>
        <v>2.0000000000000001E-4</v>
      </c>
    </row>
    <row r="1118" spans="1:12">
      <c r="A1118" s="3" t="s">
        <v>2339</v>
      </c>
      <c r="B1118" s="4" t="s">
        <v>2340</v>
      </c>
      <c r="C1118" s="4" t="s">
        <v>534</v>
      </c>
      <c r="D1118" s="4" t="s">
        <v>577</v>
      </c>
      <c r="E1118" s="4" t="s">
        <v>578</v>
      </c>
      <c r="F1118" s="4" t="s">
        <v>18</v>
      </c>
      <c r="G1118" s="4" t="s">
        <v>408</v>
      </c>
      <c r="H1118" s="5">
        <f>ROUND(7359,0)</f>
        <v>7359</v>
      </c>
      <c r="I1118" s="6">
        <f>ROUND(9.34,2)</f>
        <v>9.34</v>
      </c>
      <c r="J1118" s="6">
        <f>ROUND(9.9055,2)</f>
        <v>9.91</v>
      </c>
      <c r="K1118" s="5">
        <f>ROUND(680835.33,0)</f>
        <v>680835</v>
      </c>
      <c r="L1118" s="7">
        <f>ROUND(0.000236619331843128,4)</f>
        <v>2.0000000000000001E-4</v>
      </c>
    </row>
    <row r="1119" spans="1:12">
      <c r="A1119" s="3" t="s">
        <v>2341</v>
      </c>
      <c r="B1119" s="4" t="s">
        <v>2342</v>
      </c>
      <c r="C1119" s="4" t="s">
        <v>422</v>
      </c>
      <c r="D1119" s="4" t="s">
        <v>395</v>
      </c>
      <c r="E1119" s="4" t="s">
        <v>396</v>
      </c>
      <c r="F1119" s="4" t="s">
        <v>397</v>
      </c>
      <c r="G1119" s="4" t="s">
        <v>408</v>
      </c>
      <c r="H1119" s="5">
        <f>ROUND(3897,0)</f>
        <v>3897</v>
      </c>
      <c r="I1119" s="6">
        <f>ROUND(79.8,2)</f>
        <v>79.8</v>
      </c>
      <c r="J1119" s="6">
        <f>ROUND(2.18129969,2)</f>
        <v>2.1800000000000002</v>
      </c>
      <c r="K1119" s="5">
        <f>ROUND(678341.89,0)</f>
        <v>678342</v>
      </c>
      <c r="L1119" s="7">
        <f>ROUND(0.000235752755035501,4)</f>
        <v>2.0000000000000001E-4</v>
      </c>
    </row>
    <row r="1120" spans="1:12">
      <c r="A1120" s="3" t="s">
        <v>2343</v>
      </c>
      <c r="B1120" s="4" t="s">
        <v>2344</v>
      </c>
      <c r="C1120" s="4" t="s">
        <v>445</v>
      </c>
      <c r="D1120" s="4" t="s">
        <v>407</v>
      </c>
      <c r="E1120" s="4" t="s">
        <v>35</v>
      </c>
      <c r="F1120" s="4" t="s">
        <v>21</v>
      </c>
      <c r="G1120" s="4" t="s">
        <v>408</v>
      </c>
      <c r="H1120" s="5">
        <f>ROUND(1400,0)</f>
        <v>1400</v>
      </c>
      <c r="I1120" s="6">
        <f>ROUND(53.31,2)</f>
        <v>53.31</v>
      </c>
      <c r="J1120" s="6">
        <f>ROUND(9.08595,2)</f>
        <v>9.09</v>
      </c>
      <c r="K1120" s="5">
        <f>ROUND(678120.79,0)</f>
        <v>678121</v>
      </c>
      <c r="L1120" s="7">
        <f>ROUND(0.000235675913350052,4)</f>
        <v>2.0000000000000001E-4</v>
      </c>
    </row>
    <row r="1121" spans="1:12">
      <c r="A1121" s="3" t="s">
        <v>2345</v>
      </c>
      <c r="B1121" s="4" t="s">
        <v>2346</v>
      </c>
      <c r="C1121" s="4" t="s">
        <v>534</v>
      </c>
      <c r="D1121" s="4" t="s">
        <v>520</v>
      </c>
      <c r="E1121" s="4" t="s">
        <v>521</v>
      </c>
      <c r="F1121" s="4" t="s">
        <v>18</v>
      </c>
      <c r="G1121" s="4" t="s">
        <v>408</v>
      </c>
      <c r="H1121" s="5">
        <f>ROUND(1862,0)</f>
        <v>1862</v>
      </c>
      <c r="I1121" s="6">
        <f>ROUND(36.75,2)</f>
        <v>36.75</v>
      </c>
      <c r="J1121" s="6">
        <f>ROUND(9.9055,2)</f>
        <v>9.91</v>
      </c>
      <c r="K1121" s="5">
        <f>ROUND(677818.51,0)</f>
        <v>677819</v>
      </c>
      <c r="L1121" s="7">
        <f>ROUND(0.000235570858150244,4)</f>
        <v>2.0000000000000001E-4</v>
      </c>
    </row>
    <row r="1122" spans="1:12">
      <c r="A1122" s="3" t="s">
        <v>2347</v>
      </c>
      <c r="B1122" s="4" t="s">
        <v>2348</v>
      </c>
      <c r="C1122" s="4" t="s">
        <v>389</v>
      </c>
      <c r="D1122" s="4" t="s">
        <v>407</v>
      </c>
      <c r="E1122" s="4" t="s">
        <v>35</v>
      </c>
      <c r="F1122" s="4" t="s">
        <v>21</v>
      </c>
      <c r="G1122" s="4" t="s">
        <v>408</v>
      </c>
      <c r="H1122" s="5">
        <f>ROUND(20,0)</f>
        <v>20</v>
      </c>
      <c r="I1122" s="6">
        <f>ROUND(3717.35,2)</f>
        <v>3717.35</v>
      </c>
      <c r="J1122" s="6">
        <f>ROUND(9.08595,2)</f>
        <v>9.09</v>
      </c>
      <c r="K1122" s="5">
        <f>ROUND(675513.12,0)</f>
        <v>675513</v>
      </c>
      <c r="L1122" s="7">
        <f>ROUND(0.000234769636742657,4)</f>
        <v>2.0000000000000001E-4</v>
      </c>
    </row>
    <row r="1123" spans="1:12">
      <c r="A1123" s="3" t="s">
        <v>2349</v>
      </c>
      <c r="B1123" s="4" t="s">
        <v>2350</v>
      </c>
      <c r="C1123" s="4" t="s">
        <v>422</v>
      </c>
      <c r="D1123" s="4" t="s">
        <v>514</v>
      </c>
      <c r="E1123" s="4" t="s">
        <v>515</v>
      </c>
      <c r="F1123" s="4" t="s">
        <v>190</v>
      </c>
      <c r="G1123" s="4" t="s">
        <v>408</v>
      </c>
      <c r="H1123" s="5">
        <f>ROUND(2400,0)</f>
        <v>2400</v>
      </c>
      <c r="I1123" s="6">
        <f>ROUND(40.72,2)</f>
        <v>40.72</v>
      </c>
      <c r="J1123" s="6">
        <f>ROUND(6.86237833,2)</f>
        <v>6.86</v>
      </c>
      <c r="K1123" s="5">
        <f>ROUND(670646.51,0)</f>
        <v>670647</v>
      </c>
      <c r="L1123" s="7">
        <f>ROUND(0.000233078282084929,4)</f>
        <v>2.0000000000000001E-4</v>
      </c>
    </row>
    <row r="1124" spans="1:12">
      <c r="A1124" s="3" t="s">
        <v>2351</v>
      </c>
      <c r="B1124" s="4" t="s">
        <v>2352</v>
      </c>
      <c r="C1124" s="4" t="s">
        <v>445</v>
      </c>
      <c r="D1124" s="4" t="s">
        <v>569</v>
      </c>
      <c r="E1124" s="4" t="s">
        <v>570</v>
      </c>
      <c r="F1124" s="4" t="s">
        <v>19</v>
      </c>
      <c r="G1124" s="4" t="s">
        <v>408</v>
      </c>
      <c r="H1124" s="5">
        <f>ROUND(363,0)</f>
        <v>363</v>
      </c>
      <c r="I1124" s="6">
        <f>ROUND(1390.5,2)</f>
        <v>1390.5</v>
      </c>
      <c r="J1124" s="6">
        <f>ROUND(1.3267035,2)</f>
        <v>1.33</v>
      </c>
      <c r="K1124" s="5">
        <f>ROUND(669655.58,0)</f>
        <v>669656</v>
      </c>
      <c r="L1124" s="7">
        <f>ROUND(0.000232733891621961,4)</f>
        <v>2.0000000000000001E-4</v>
      </c>
    </row>
    <row r="1125" spans="1:12">
      <c r="A1125" s="3" t="s">
        <v>2353</v>
      </c>
      <c r="B1125" s="4" t="s">
        <v>2354</v>
      </c>
      <c r="C1125" s="4" t="s">
        <v>445</v>
      </c>
      <c r="D1125" s="4" t="s">
        <v>407</v>
      </c>
      <c r="E1125" s="4" t="s">
        <v>35</v>
      </c>
      <c r="F1125" s="4" t="s">
        <v>21</v>
      </c>
      <c r="G1125" s="4" t="s">
        <v>408</v>
      </c>
      <c r="H1125" s="5">
        <f>ROUND(1230,0)</f>
        <v>1230</v>
      </c>
      <c r="I1125" s="6">
        <f>ROUND(59.91,2)</f>
        <v>59.91</v>
      </c>
      <c r="J1125" s="6">
        <f>ROUND(9.08595,2)</f>
        <v>9.09</v>
      </c>
      <c r="K1125" s="5">
        <f>ROUND(669537.3,0)</f>
        <v>669537</v>
      </c>
      <c r="L1125" s="7">
        <f>ROUND(0.000232692784274359,4)</f>
        <v>2.0000000000000001E-4</v>
      </c>
    </row>
    <row r="1126" spans="1:12">
      <c r="A1126" s="3" t="s">
        <v>2355</v>
      </c>
      <c r="B1126" s="4" t="s">
        <v>2356</v>
      </c>
      <c r="C1126" s="4" t="s">
        <v>400</v>
      </c>
      <c r="D1126" s="4" t="s">
        <v>739</v>
      </c>
      <c r="E1126" s="4" t="s">
        <v>740</v>
      </c>
      <c r="F1126" s="4" t="s">
        <v>741</v>
      </c>
      <c r="G1126" s="4" t="s">
        <v>408</v>
      </c>
      <c r="H1126" s="5">
        <f>ROUND(7075,0)</f>
        <v>7075</v>
      </c>
      <c r="I1126" s="6">
        <f>ROUND(12450,2)</f>
        <v>12450</v>
      </c>
      <c r="J1126" s="6">
        <f>ROUND(0.00759599,2)</f>
        <v>0.01</v>
      </c>
      <c r="K1126" s="5">
        <f>ROUND(669083.28,0)</f>
        <v>669083</v>
      </c>
      <c r="L1126" s="7">
        <f>ROUND(0.000232534992949042,4)</f>
        <v>2.0000000000000001E-4</v>
      </c>
    </row>
    <row r="1127" spans="1:12">
      <c r="A1127" s="3" t="s">
        <v>2357</v>
      </c>
      <c r="B1127" s="4" t="s">
        <v>2358</v>
      </c>
      <c r="C1127" s="4" t="s">
        <v>389</v>
      </c>
      <c r="D1127" s="4" t="s">
        <v>390</v>
      </c>
      <c r="E1127" s="4" t="s">
        <v>391</v>
      </c>
      <c r="F1127" s="4" t="s">
        <v>72</v>
      </c>
      <c r="G1127" s="4" t="s">
        <v>408</v>
      </c>
      <c r="H1127" s="5">
        <f>ROUND(3562,0)</f>
        <v>3562</v>
      </c>
      <c r="I1127" s="6">
        <f>ROUND(30.6,2)</f>
        <v>30.6</v>
      </c>
      <c r="J1127" s="6">
        <f>ROUND(6.12812423,2)</f>
        <v>6.13</v>
      </c>
      <c r="K1127" s="5">
        <f>ROUND(667948.38,0)</f>
        <v>667948</v>
      </c>
      <c r="L1127" s="7">
        <f>ROUND(0.00023214056676715,4)</f>
        <v>2.0000000000000001E-4</v>
      </c>
    </row>
    <row r="1128" spans="1:12">
      <c r="A1128" s="3" t="s">
        <v>2359</v>
      </c>
      <c r="B1128" s="4" t="s">
        <v>2360</v>
      </c>
      <c r="C1128" s="4" t="s">
        <v>422</v>
      </c>
      <c r="D1128" s="4" t="s">
        <v>514</v>
      </c>
      <c r="E1128" s="4" t="s">
        <v>515</v>
      </c>
      <c r="F1128" s="4" t="s">
        <v>190</v>
      </c>
      <c r="G1128" s="4" t="s">
        <v>408</v>
      </c>
      <c r="H1128" s="5">
        <f>ROUND(873,0)</f>
        <v>873</v>
      </c>
      <c r="I1128" s="6">
        <f>ROUND(111.46,2)</f>
        <v>111.46</v>
      </c>
      <c r="J1128" s="6">
        <f>ROUND(6.86237833,2)</f>
        <v>6.86</v>
      </c>
      <c r="K1128" s="5">
        <f>ROUND(667740.84,0)</f>
        <v>667741</v>
      </c>
      <c r="L1128" s="7">
        <f>ROUND(0.000232068437760375,4)</f>
        <v>2.0000000000000001E-4</v>
      </c>
    </row>
    <row r="1129" spans="1:12">
      <c r="A1129" s="3" t="s">
        <v>2361</v>
      </c>
      <c r="B1129" s="4" t="s">
        <v>2362</v>
      </c>
      <c r="C1129" s="4" t="s">
        <v>400</v>
      </c>
      <c r="D1129" s="4" t="s">
        <v>1024</v>
      </c>
      <c r="E1129" s="4" t="s">
        <v>1025</v>
      </c>
      <c r="F1129" s="4" t="s">
        <v>1026</v>
      </c>
      <c r="G1129" s="4" t="s">
        <v>408</v>
      </c>
      <c r="H1129" s="5">
        <f>ROUND(7827,0)</f>
        <v>7827</v>
      </c>
      <c r="I1129" s="6">
        <f>ROUND(92.18,2)</f>
        <v>92.18</v>
      </c>
      <c r="J1129" s="6">
        <f>ROUND(0.92410673,2)</f>
        <v>0.92</v>
      </c>
      <c r="K1129" s="5">
        <f>ROUND(666736.41,0)</f>
        <v>666736</v>
      </c>
      <c r="L1129" s="7">
        <f>ROUND(0.000231719355471294,4)</f>
        <v>2.0000000000000001E-4</v>
      </c>
    </row>
    <row r="1130" spans="1:12">
      <c r="A1130" s="3" t="s">
        <v>2363</v>
      </c>
      <c r="B1130" s="4" t="s">
        <v>2364</v>
      </c>
      <c r="C1130" s="4" t="s">
        <v>389</v>
      </c>
      <c r="D1130" s="4" t="s">
        <v>407</v>
      </c>
      <c r="E1130" s="4" t="s">
        <v>35</v>
      </c>
      <c r="F1130" s="4" t="s">
        <v>21</v>
      </c>
      <c r="G1130" s="4" t="s">
        <v>408</v>
      </c>
      <c r="H1130" s="5">
        <f>ROUND(300,0)</f>
        <v>300</v>
      </c>
      <c r="I1130" s="6">
        <f>ROUND(244.59,2)</f>
        <v>244.59</v>
      </c>
      <c r="J1130" s="6">
        <f>ROUND(9.08595,2)</f>
        <v>9.09</v>
      </c>
      <c r="K1130" s="5">
        <f>ROUND(666699.75,0)</f>
        <v>666700</v>
      </c>
      <c r="L1130" s="7">
        <f>ROUND(0.000231706614556828,4)</f>
        <v>2.0000000000000001E-4</v>
      </c>
    </row>
    <row r="1131" spans="1:12">
      <c r="A1131" s="3" t="s">
        <v>2365</v>
      </c>
      <c r="B1131" s="4" t="s">
        <v>2366</v>
      </c>
      <c r="C1131" s="4" t="s">
        <v>406</v>
      </c>
      <c r="D1131" s="4" t="s">
        <v>577</v>
      </c>
      <c r="E1131" s="4" t="s">
        <v>578</v>
      </c>
      <c r="F1131" s="4" t="s">
        <v>18</v>
      </c>
      <c r="G1131" s="4" t="s">
        <v>408</v>
      </c>
      <c r="H1131" s="5">
        <f>ROUND(3790,0)</f>
        <v>3790</v>
      </c>
      <c r="I1131" s="6">
        <f>ROUND(17.73,2)</f>
        <v>17.73</v>
      </c>
      <c r="J1131" s="6">
        <f>ROUND(9.9055,2)</f>
        <v>9.91</v>
      </c>
      <c r="K1131" s="5">
        <f>ROUND(665616.91,0)</f>
        <v>665617</v>
      </c>
      <c r="L1131" s="7">
        <f>ROUND(0.000231330281446598,4)</f>
        <v>2.0000000000000001E-4</v>
      </c>
    </row>
    <row r="1132" spans="1:12">
      <c r="A1132" s="3" t="s">
        <v>2367</v>
      </c>
      <c r="B1132" s="4" t="s">
        <v>2368</v>
      </c>
      <c r="C1132" s="4" t="s">
        <v>406</v>
      </c>
      <c r="D1132" s="4" t="s">
        <v>407</v>
      </c>
      <c r="E1132" s="4" t="s">
        <v>35</v>
      </c>
      <c r="F1132" s="4" t="s">
        <v>21</v>
      </c>
      <c r="G1132" s="4" t="s">
        <v>408</v>
      </c>
      <c r="H1132" s="5">
        <f>ROUND(743,0)</f>
        <v>743</v>
      </c>
      <c r="I1132" s="6">
        <f>ROUND(98.46,2)</f>
        <v>98.46</v>
      </c>
      <c r="J1132" s="6">
        <f>ROUND(9.08595,2)</f>
        <v>9.09</v>
      </c>
      <c r="K1132" s="5">
        <f>ROUND(664689.76,0)</f>
        <v>664690</v>
      </c>
      <c r="L1132" s="7">
        <f>ROUND(0.000231008057255444,4)</f>
        <v>2.0000000000000001E-4</v>
      </c>
    </row>
    <row r="1133" spans="1:12">
      <c r="A1133" s="3" t="s">
        <v>2369</v>
      </c>
      <c r="B1133" s="4" t="s">
        <v>2370</v>
      </c>
      <c r="C1133" s="4" t="s">
        <v>493</v>
      </c>
      <c r="D1133" s="4" t="s">
        <v>489</v>
      </c>
      <c r="E1133" s="4" t="s">
        <v>490</v>
      </c>
      <c r="F1133" s="4" t="s">
        <v>45</v>
      </c>
      <c r="G1133" s="4" t="s">
        <v>408</v>
      </c>
      <c r="H1133" s="5">
        <f>ROUND(2900,0)</f>
        <v>2900</v>
      </c>
      <c r="I1133" s="6">
        <f>ROUND(2724.5,2)</f>
        <v>2724.5</v>
      </c>
      <c r="J1133" s="6">
        <f>ROUND(8.407077,2)</f>
        <v>8.41</v>
      </c>
      <c r="K1133" s="5">
        <f>ROUND(664247.36,0)</f>
        <v>664247</v>
      </c>
      <c r="L1133" s="7">
        <f>ROUND(0.000230854304376011,4)</f>
        <v>2.0000000000000001E-4</v>
      </c>
    </row>
    <row r="1134" spans="1:12">
      <c r="A1134" s="3" t="s">
        <v>2371</v>
      </c>
      <c r="B1134" s="4" t="s">
        <v>2372</v>
      </c>
      <c r="C1134" s="4" t="s">
        <v>406</v>
      </c>
      <c r="D1134" s="4" t="s">
        <v>407</v>
      </c>
      <c r="E1134" s="4" t="s">
        <v>35</v>
      </c>
      <c r="F1134" s="4" t="s">
        <v>21</v>
      </c>
      <c r="G1134" s="4" t="s">
        <v>408</v>
      </c>
      <c r="H1134" s="5">
        <f>ROUND(800,0)</f>
        <v>800</v>
      </c>
      <c r="I1134" s="6">
        <f>ROUND(91.38,2)</f>
        <v>91.38</v>
      </c>
      <c r="J1134" s="6">
        <f>ROUND(9.08595,2)</f>
        <v>9.09</v>
      </c>
      <c r="K1134" s="5">
        <f>ROUND(664219.29,0)</f>
        <v>664219</v>
      </c>
      <c r="L1134" s="7">
        <f>ROUND(0.000230844548853123,4)</f>
        <v>2.0000000000000001E-4</v>
      </c>
    </row>
    <row r="1135" spans="1:12">
      <c r="A1135" s="3" t="s">
        <v>2373</v>
      </c>
      <c r="B1135" s="4" t="s">
        <v>2374</v>
      </c>
      <c r="C1135" s="4" t="s">
        <v>534</v>
      </c>
      <c r="D1135" s="4" t="s">
        <v>552</v>
      </c>
      <c r="E1135" s="4" t="s">
        <v>553</v>
      </c>
      <c r="F1135" s="4" t="s">
        <v>26</v>
      </c>
      <c r="G1135" s="4" t="s">
        <v>408</v>
      </c>
      <c r="H1135" s="5">
        <f>ROUND(10500,0)</f>
        <v>10500</v>
      </c>
      <c r="I1135" s="6">
        <f>ROUND(54.55,2)</f>
        <v>54.55</v>
      </c>
      <c r="J1135" s="6">
        <f>ROUND(1.15901246,2)</f>
        <v>1.1599999999999999</v>
      </c>
      <c r="K1135" s="5">
        <f>ROUND(663853.36,0)</f>
        <v>663853</v>
      </c>
      <c r="L1135" s="7">
        <f>ROUND(0.000230717372562049,4)</f>
        <v>2.0000000000000001E-4</v>
      </c>
    </row>
    <row r="1136" spans="1:12">
      <c r="A1136" s="3" t="s">
        <v>2375</v>
      </c>
      <c r="B1136" s="4" t="s">
        <v>2376</v>
      </c>
      <c r="C1136" s="4" t="s">
        <v>422</v>
      </c>
      <c r="D1136" s="4" t="s">
        <v>489</v>
      </c>
      <c r="E1136" s="4" t="s">
        <v>490</v>
      </c>
      <c r="F1136" s="4" t="s">
        <v>45</v>
      </c>
      <c r="G1136" s="4" t="s">
        <v>408</v>
      </c>
      <c r="H1136" s="5">
        <f>ROUND(1000,0)</f>
        <v>1000</v>
      </c>
      <c r="I1136" s="6">
        <f>ROUND(7880,2)</f>
        <v>7880</v>
      </c>
      <c r="J1136" s="6">
        <f>ROUND(8.407077,2)</f>
        <v>8.41</v>
      </c>
      <c r="K1136" s="5">
        <f>ROUND(662477.67,0)</f>
        <v>662478</v>
      </c>
      <c r="L1136" s="7">
        <f>ROUND(0.000230239261579437,4)</f>
        <v>2.0000000000000001E-4</v>
      </c>
    </row>
    <row r="1137" spans="1:12">
      <c r="A1137" s="3" t="s">
        <v>2377</v>
      </c>
      <c r="B1137" s="4" t="s">
        <v>2378</v>
      </c>
      <c r="C1137" s="4" t="s">
        <v>422</v>
      </c>
      <c r="D1137" s="4" t="s">
        <v>1059</v>
      </c>
      <c r="E1137" s="4" t="s">
        <v>1060</v>
      </c>
      <c r="F1137" s="4" t="s">
        <v>279</v>
      </c>
      <c r="G1137" s="4" t="s">
        <v>408</v>
      </c>
      <c r="H1137" s="5">
        <f>ROUND(7980,0)</f>
        <v>7980</v>
      </c>
      <c r="I1137" s="6">
        <f>ROUND(82.76,2)</f>
        <v>82.76</v>
      </c>
      <c r="J1137" s="6">
        <f>ROUND(1,2)</f>
        <v>1</v>
      </c>
      <c r="K1137" s="5">
        <f>ROUND(660424.8,0)</f>
        <v>660425</v>
      </c>
      <c r="L1137" s="7">
        <f>ROUND(0.000229525801648148,4)</f>
        <v>2.0000000000000001E-4</v>
      </c>
    </row>
    <row r="1138" spans="1:12">
      <c r="A1138" s="3" t="s">
        <v>2379</v>
      </c>
      <c r="B1138" s="4" t="s">
        <v>2380</v>
      </c>
      <c r="C1138" s="4" t="s">
        <v>422</v>
      </c>
      <c r="D1138" s="4" t="s">
        <v>489</v>
      </c>
      <c r="E1138" s="4" t="s">
        <v>490</v>
      </c>
      <c r="F1138" s="4" t="s">
        <v>45</v>
      </c>
      <c r="G1138" s="4" t="s">
        <v>408</v>
      </c>
      <c r="H1138" s="5">
        <f>ROUND(1700,0)</f>
        <v>1700</v>
      </c>
      <c r="I1138" s="6">
        <f>ROUND(4620,2)</f>
        <v>4620</v>
      </c>
      <c r="J1138" s="6">
        <f>ROUND(8.407077,2)</f>
        <v>8.41</v>
      </c>
      <c r="K1138" s="5">
        <f>ROUND(660291.83,0)</f>
        <v>660292</v>
      </c>
      <c r="L1138" s="7">
        <f>ROUND(0.000229479588898649,4)</f>
        <v>2.0000000000000001E-4</v>
      </c>
    </row>
    <row r="1139" spans="1:12">
      <c r="A1139" s="3" t="s">
        <v>2381</v>
      </c>
      <c r="B1139" s="4" t="s">
        <v>2382</v>
      </c>
      <c r="C1139" s="4" t="s">
        <v>389</v>
      </c>
      <c r="D1139" s="4" t="s">
        <v>456</v>
      </c>
      <c r="E1139" s="4" t="s">
        <v>457</v>
      </c>
      <c r="F1139" s="4" t="s">
        <v>21</v>
      </c>
      <c r="G1139" s="4" t="s">
        <v>408</v>
      </c>
      <c r="H1139" s="5">
        <f>ROUND(2251,0)</f>
        <v>2251</v>
      </c>
      <c r="I1139" s="6">
        <f>ROUND(32.22,2)</f>
        <v>32.22</v>
      </c>
      <c r="J1139" s="6">
        <f>ROUND(9.08595,2)</f>
        <v>9.09</v>
      </c>
      <c r="K1139" s="5">
        <f>ROUND(658978.69,0)</f>
        <v>658979</v>
      </c>
      <c r="L1139" s="7">
        <f>ROUND(0.00022902321671036,4)</f>
        <v>2.0000000000000001E-4</v>
      </c>
    </row>
    <row r="1140" spans="1:12">
      <c r="A1140" s="3" t="s">
        <v>2383</v>
      </c>
      <c r="B1140" s="4" t="s">
        <v>2384</v>
      </c>
      <c r="C1140" s="4" t="s">
        <v>389</v>
      </c>
      <c r="D1140" s="4" t="s">
        <v>456</v>
      </c>
      <c r="E1140" s="4" t="s">
        <v>457</v>
      </c>
      <c r="F1140" s="4" t="s">
        <v>26</v>
      </c>
      <c r="G1140" s="4" t="s">
        <v>408</v>
      </c>
      <c r="H1140" s="5">
        <f>ROUND(16000,0)</f>
        <v>16000</v>
      </c>
      <c r="I1140" s="6">
        <f>ROUND(35.5,2)</f>
        <v>35.5</v>
      </c>
      <c r="J1140" s="6">
        <f>ROUND(1.15901246,2)</f>
        <v>1.1599999999999999</v>
      </c>
      <c r="K1140" s="5">
        <f>ROUND(658319.08,0)</f>
        <v>658319</v>
      </c>
      <c r="L1140" s="7">
        <f>ROUND(0.000228793974086484,4)</f>
        <v>2.0000000000000001E-4</v>
      </c>
    </row>
    <row r="1141" spans="1:12">
      <c r="A1141" s="3" t="s">
        <v>2385</v>
      </c>
      <c r="B1141" s="4" t="s">
        <v>2386</v>
      </c>
      <c r="C1141" s="4" t="s">
        <v>400</v>
      </c>
      <c r="D1141" s="4" t="s">
        <v>407</v>
      </c>
      <c r="E1141" s="4" t="s">
        <v>35</v>
      </c>
      <c r="F1141" s="4" t="s">
        <v>21</v>
      </c>
      <c r="G1141" s="4" t="s">
        <v>408</v>
      </c>
      <c r="H1141" s="5">
        <f>ROUND(1200,0)</f>
        <v>1200</v>
      </c>
      <c r="I1141" s="6">
        <f>ROUND(60.32,2)</f>
        <v>60.32</v>
      </c>
      <c r="J1141" s="6">
        <f>ROUND(9.08595,2)</f>
        <v>9.09</v>
      </c>
      <c r="K1141" s="5">
        <f>ROUND(657677.4,0)</f>
        <v>657677</v>
      </c>
      <c r="L1141" s="7">
        <f>ROUND(0.000228570962902771,4)</f>
        <v>2.0000000000000001E-4</v>
      </c>
    </row>
    <row r="1142" spans="1:12">
      <c r="A1142" s="3" t="s">
        <v>2387</v>
      </c>
      <c r="B1142" s="4" t="s">
        <v>2388</v>
      </c>
      <c r="C1142" s="4" t="s">
        <v>422</v>
      </c>
      <c r="D1142" s="4" t="s">
        <v>489</v>
      </c>
      <c r="E1142" s="4" t="s">
        <v>490</v>
      </c>
      <c r="F1142" s="4" t="s">
        <v>45</v>
      </c>
      <c r="G1142" s="4" t="s">
        <v>408</v>
      </c>
      <c r="H1142" s="5">
        <f>ROUND(3900,0)</f>
        <v>3900</v>
      </c>
      <c r="I1142" s="6">
        <f>ROUND(1998,2)</f>
        <v>1998</v>
      </c>
      <c r="J1142" s="6">
        <f>ROUND(8.407077,2)</f>
        <v>8.41</v>
      </c>
      <c r="K1142" s="5">
        <f>ROUND(655096.25,0)</f>
        <v>655096</v>
      </c>
      <c r="L1142" s="7">
        <f>ROUND(0.000227673903127117,4)</f>
        <v>2.0000000000000001E-4</v>
      </c>
    </row>
    <row r="1143" spans="1:12">
      <c r="A1143" s="3" t="s">
        <v>2389</v>
      </c>
      <c r="B1143" s="4" t="s">
        <v>2390</v>
      </c>
      <c r="C1143" s="4" t="s">
        <v>534</v>
      </c>
      <c r="D1143" s="4" t="s">
        <v>520</v>
      </c>
      <c r="E1143" s="4" t="s">
        <v>521</v>
      </c>
      <c r="F1143" s="4" t="s">
        <v>18</v>
      </c>
      <c r="G1143" s="4" t="s">
        <v>408</v>
      </c>
      <c r="H1143" s="5">
        <f>ROUND(1501,0)</f>
        <v>1501</v>
      </c>
      <c r="I1143" s="6">
        <f>ROUND(44.03,2)</f>
        <v>44.03</v>
      </c>
      <c r="J1143" s="6">
        <f>ROUND(9.9055,2)</f>
        <v>9.91</v>
      </c>
      <c r="K1143" s="5">
        <f>ROUND(654644.89,0)</f>
        <v>654645</v>
      </c>
      <c r="L1143" s="7">
        <f>ROUND(0.000227517036265315,4)</f>
        <v>2.0000000000000001E-4</v>
      </c>
    </row>
    <row r="1144" spans="1:12">
      <c r="A1144" s="3" t="s">
        <v>2391</v>
      </c>
      <c r="B1144" s="4" t="s">
        <v>2392</v>
      </c>
      <c r="C1144" s="4" t="s">
        <v>566</v>
      </c>
      <c r="D1144" s="4" t="s">
        <v>520</v>
      </c>
      <c r="E1144" s="4" t="s">
        <v>521</v>
      </c>
      <c r="F1144" s="4" t="s">
        <v>18</v>
      </c>
      <c r="G1144" s="4" t="s">
        <v>408</v>
      </c>
      <c r="H1144" s="5">
        <f>ROUND(458,0)</f>
        <v>458</v>
      </c>
      <c r="I1144" s="6">
        <f>ROUND(144.2,2)</f>
        <v>144.19999999999999</v>
      </c>
      <c r="J1144" s="6">
        <f>ROUND(9.9055,2)</f>
        <v>9.91</v>
      </c>
      <c r="K1144" s="5">
        <f>ROUND(654194.88,0)</f>
        <v>654195</v>
      </c>
      <c r="L1144" s="7">
        <f>ROUND(0.000227360638586125,4)</f>
        <v>2.0000000000000001E-4</v>
      </c>
    </row>
    <row r="1145" spans="1:12">
      <c r="A1145" s="3" t="s">
        <v>2393</v>
      </c>
      <c r="B1145" s="4" t="s">
        <v>2394</v>
      </c>
      <c r="C1145" s="4" t="s">
        <v>422</v>
      </c>
      <c r="D1145" s="4" t="s">
        <v>789</v>
      </c>
      <c r="E1145" s="4" t="s">
        <v>790</v>
      </c>
      <c r="F1145" s="4" t="s">
        <v>791</v>
      </c>
      <c r="G1145" s="4" t="s">
        <v>408</v>
      </c>
      <c r="H1145" s="5">
        <f>ROUND(367,0)</f>
        <v>367</v>
      </c>
      <c r="I1145" s="6">
        <f>ROUND(13889.65,2)</f>
        <v>13889.65</v>
      </c>
      <c r="J1145" s="6">
        <f>ROUND(0.12820804,2)</f>
        <v>0.13</v>
      </c>
      <c r="K1145" s="5">
        <f>ROUND(653540.68,0)</f>
        <v>653541</v>
      </c>
      <c r="L1145" s="7">
        <f>ROUND(0.000227133276168121,4)</f>
        <v>2.0000000000000001E-4</v>
      </c>
    </row>
    <row r="1146" spans="1:12">
      <c r="A1146" s="3" t="s">
        <v>2395</v>
      </c>
      <c r="B1146" s="4" t="s">
        <v>2396</v>
      </c>
      <c r="C1146" s="4" t="s">
        <v>415</v>
      </c>
      <c r="D1146" s="4" t="s">
        <v>1024</v>
      </c>
      <c r="E1146" s="4" t="s">
        <v>1025</v>
      </c>
      <c r="F1146" s="4" t="s">
        <v>1026</v>
      </c>
      <c r="G1146" s="4" t="s">
        <v>408</v>
      </c>
      <c r="H1146" s="5">
        <f>ROUND(16000,0)</f>
        <v>16000</v>
      </c>
      <c r="I1146" s="6">
        <f>ROUND(44.07,2)</f>
        <v>44.07</v>
      </c>
      <c r="J1146" s="6">
        <f>ROUND(0.92410673,2)</f>
        <v>0.92</v>
      </c>
      <c r="K1146" s="5">
        <f>ROUND(651606.14,0)</f>
        <v>651606</v>
      </c>
      <c r="L1146" s="7">
        <f>ROUND(0.000226460940961568,4)</f>
        <v>2.0000000000000001E-4</v>
      </c>
    </row>
    <row r="1147" spans="1:12">
      <c r="A1147" s="3" t="s">
        <v>2397</v>
      </c>
      <c r="B1147" s="4" t="s">
        <v>2398</v>
      </c>
      <c r="C1147" s="4" t="s">
        <v>566</v>
      </c>
      <c r="D1147" s="4" t="s">
        <v>407</v>
      </c>
      <c r="E1147" s="4" t="s">
        <v>35</v>
      </c>
      <c r="F1147" s="4" t="s">
        <v>21</v>
      </c>
      <c r="G1147" s="4" t="s">
        <v>408</v>
      </c>
      <c r="H1147" s="5">
        <f>ROUND(465,0)</f>
        <v>465</v>
      </c>
      <c r="I1147" s="6">
        <f>ROUND(154.04,2)</f>
        <v>154.04</v>
      </c>
      <c r="J1147" s="6">
        <f>ROUND(9.08595,2)</f>
        <v>9.09</v>
      </c>
      <c r="K1147" s="5">
        <f>ROUND(650813.88,0)</f>
        <v>650814</v>
      </c>
      <c r="L1147" s="7">
        <f>ROUND(0.000226185596801849,4)</f>
        <v>2.0000000000000001E-4</v>
      </c>
    </row>
    <row r="1148" spans="1:12">
      <c r="A1148" s="3" t="s">
        <v>2399</v>
      </c>
      <c r="B1148" s="4" t="s">
        <v>2400</v>
      </c>
      <c r="C1148" s="4" t="s">
        <v>422</v>
      </c>
      <c r="D1148" s="4" t="s">
        <v>489</v>
      </c>
      <c r="E1148" s="4" t="s">
        <v>490</v>
      </c>
      <c r="F1148" s="4" t="s">
        <v>45</v>
      </c>
      <c r="G1148" s="4" t="s">
        <v>408</v>
      </c>
      <c r="H1148" s="5">
        <f>ROUND(1500,0)</f>
        <v>1500</v>
      </c>
      <c r="I1148" s="6">
        <f>ROUND(5160,2)</f>
        <v>5160</v>
      </c>
      <c r="J1148" s="6">
        <f>ROUND(8.407077,2)</f>
        <v>8.41</v>
      </c>
      <c r="K1148" s="5">
        <f>ROUND(650707.76,0)</f>
        <v>650708</v>
      </c>
      <c r="L1148" s="7">
        <f>ROUND(0.000226148715573175,4)</f>
        <v>2.0000000000000001E-4</v>
      </c>
    </row>
    <row r="1149" spans="1:12">
      <c r="A1149" s="3" t="s">
        <v>2401</v>
      </c>
      <c r="B1149" s="4" t="s">
        <v>2402</v>
      </c>
      <c r="C1149" s="4" t="s">
        <v>545</v>
      </c>
      <c r="D1149" s="4" t="s">
        <v>569</v>
      </c>
      <c r="E1149" s="4" t="s">
        <v>570</v>
      </c>
      <c r="F1149" s="4" t="s">
        <v>19</v>
      </c>
      <c r="G1149" s="4" t="s">
        <v>408</v>
      </c>
      <c r="H1149" s="5">
        <f>ROUND(843,0)</f>
        <v>843</v>
      </c>
      <c r="I1149" s="6">
        <f>ROUND(581.4,2)</f>
        <v>581.4</v>
      </c>
      <c r="J1149" s="6">
        <f>ROUND(1.3267035,2)</f>
        <v>1.33</v>
      </c>
      <c r="K1149" s="5">
        <f>ROUND(650244.18,0)</f>
        <v>650244</v>
      </c>
      <c r="L1149" s="7">
        <f>ROUND(0.000225987601739884,4)</f>
        <v>2.0000000000000001E-4</v>
      </c>
    </row>
    <row r="1150" spans="1:12">
      <c r="A1150" s="3" t="s">
        <v>2403</v>
      </c>
      <c r="B1150" s="4" t="s">
        <v>2404</v>
      </c>
      <c r="C1150" s="4" t="s">
        <v>545</v>
      </c>
      <c r="D1150" s="4" t="s">
        <v>486</v>
      </c>
      <c r="E1150" s="4" t="s">
        <v>30</v>
      </c>
      <c r="F1150" s="4" t="s">
        <v>20</v>
      </c>
      <c r="G1150" s="4" t="s">
        <v>408</v>
      </c>
      <c r="H1150" s="5">
        <f>ROUND(3719,0)</f>
        <v>3719</v>
      </c>
      <c r="I1150" s="6">
        <f>ROUND(1558,2)</f>
        <v>1558</v>
      </c>
      <c r="J1150" s="6">
        <f>ROUND(11.19645077,2)</f>
        <v>11.2</v>
      </c>
      <c r="K1150" s="5">
        <f>ROUND(648744.97,0)</f>
        <v>648745</v>
      </c>
      <c r="L1150" s="7">
        <f>ROUND(0.000225466562286053,4)</f>
        <v>2.0000000000000001E-4</v>
      </c>
    </row>
    <row r="1151" spans="1:12">
      <c r="A1151" s="3" t="s">
        <v>2405</v>
      </c>
      <c r="B1151" s="4" t="s">
        <v>2406</v>
      </c>
      <c r="C1151" s="4" t="s">
        <v>534</v>
      </c>
      <c r="D1151" s="4" t="s">
        <v>723</v>
      </c>
      <c r="E1151" s="4" t="s">
        <v>724</v>
      </c>
      <c r="F1151" s="4" t="s">
        <v>18</v>
      </c>
      <c r="G1151" s="4" t="s">
        <v>408</v>
      </c>
      <c r="H1151" s="5">
        <f>ROUND(1785,0)</f>
        <v>1785</v>
      </c>
      <c r="I1151" s="6">
        <f>ROUND(36.66,2)</f>
        <v>36.659999999999997</v>
      </c>
      <c r="J1151" s="6">
        <f>ROUND(9.9055,2)</f>
        <v>9.91</v>
      </c>
      <c r="K1151" s="5">
        <f>ROUND(648197.1,0)</f>
        <v>648197</v>
      </c>
      <c r="L1151" s="7">
        <f>ROUND(0.000225276154080684,4)</f>
        <v>2.0000000000000001E-4</v>
      </c>
    </row>
    <row r="1152" spans="1:12">
      <c r="A1152" s="3" t="s">
        <v>2407</v>
      </c>
      <c r="B1152" s="4" t="s">
        <v>2408</v>
      </c>
      <c r="C1152" s="4" t="s">
        <v>534</v>
      </c>
      <c r="D1152" s="4" t="s">
        <v>1119</v>
      </c>
      <c r="E1152" s="4" t="s">
        <v>1120</v>
      </c>
      <c r="F1152" s="4" t="s">
        <v>95</v>
      </c>
      <c r="G1152" s="4" t="s">
        <v>408</v>
      </c>
      <c r="H1152" s="5">
        <f>ROUND(81276,0)</f>
        <v>81276</v>
      </c>
      <c r="I1152" s="6">
        <f>ROUND(17.33,2)</f>
        <v>17.329999999999998</v>
      </c>
      <c r="J1152" s="6">
        <f>ROUND(0.4601869,2)</f>
        <v>0.46</v>
      </c>
      <c r="K1152" s="5">
        <f>ROUND(648179.27,0)</f>
        <v>648179</v>
      </c>
      <c r="L1152" s="7">
        <f>ROUND(0.000225269957394788,4)</f>
        <v>2.0000000000000001E-4</v>
      </c>
    </row>
    <row r="1153" spans="1:12">
      <c r="A1153" s="3" t="s">
        <v>2409</v>
      </c>
      <c r="B1153" s="4" t="s">
        <v>2410</v>
      </c>
      <c r="C1153" s="4" t="s">
        <v>406</v>
      </c>
      <c r="D1153" s="4" t="s">
        <v>407</v>
      </c>
      <c r="E1153" s="4" t="s">
        <v>35</v>
      </c>
      <c r="F1153" s="4" t="s">
        <v>21</v>
      </c>
      <c r="G1153" s="4" t="s">
        <v>408</v>
      </c>
      <c r="H1153" s="5">
        <f>ROUND(900,0)</f>
        <v>900</v>
      </c>
      <c r="I1153" s="6">
        <f>ROUND(79.25,2)</f>
        <v>79.25</v>
      </c>
      <c r="J1153" s="6">
        <f>ROUND(9.08595,2)</f>
        <v>9.09</v>
      </c>
      <c r="K1153" s="5">
        <f>ROUND(648055.38,0)</f>
        <v>648055</v>
      </c>
      <c r="L1153" s="7">
        <f>ROUND(0.000225226900332779,4)</f>
        <v>2.0000000000000001E-4</v>
      </c>
    </row>
    <row r="1154" spans="1:12">
      <c r="A1154" s="3" t="s">
        <v>2411</v>
      </c>
      <c r="B1154" s="4" t="s">
        <v>2412</v>
      </c>
      <c r="C1154" s="4" t="s">
        <v>415</v>
      </c>
      <c r="D1154" s="4" t="s">
        <v>407</v>
      </c>
      <c r="E1154" s="4" t="s">
        <v>35</v>
      </c>
      <c r="F1154" s="4" t="s">
        <v>21</v>
      </c>
      <c r="G1154" s="4" t="s">
        <v>408</v>
      </c>
      <c r="H1154" s="5">
        <f>ROUND(11394,0)</f>
        <v>11394</v>
      </c>
      <c r="I1154" s="6">
        <f>ROUND(6.255,2)</f>
        <v>6.26</v>
      </c>
      <c r="J1154" s="6">
        <f>ROUND(9.08595,2)</f>
        <v>9.09</v>
      </c>
      <c r="K1154" s="5">
        <f>ROUND(647550.84,0)</f>
        <v>647551</v>
      </c>
      <c r="L1154" s="7">
        <f>ROUND(0.000225051551151519,4)</f>
        <v>2.0000000000000001E-4</v>
      </c>
    </row>
    <row r="1155" spans="1:12">
      <c r="A1155" s="3" t="s">
        <v>2413</v>
      </c>
      <c r="B1155" s="4" t="s">
        <v>2414</v>
      </c>
      <c r="C1155" s="4" t="s">
        <v>534</v>
      </c>
      <c r="D1155" s="4" t="s">
        <v>577</v>
      </c>
      <c r="E1155" s="4" t="s">
        <v>578</v>
      </c>
      <c r="F1155" s="4" t="s">
        <v>21</v>
      </c>
      <c r="G1155" s="4" t="s">
        <v>408</v>
      </c>
      <c r="H1155" s="5">
        <f>ROUND(1300,0)</f>
        <v>1300</v>
      </c>
      <c r="I1155" s="6">
        <f>ROUND(54.75,2)</f>
        <v>54.75</v>
      </c>
      <c r="J1155" s="6">
        <f>ROUND(9.08595,2)</f>
        <v>9.09</v>
      </c>
      <c r="K1155" s="5">
        <f>ROUND(646692.49,0)</f>
        <v>646692</v>
      </c>
      <c r="L1155" s="7">
        <f>ROUND(0.000224753237896407,4)</f>
        <v>2.0000000000000001E-4</v>
      </c>
    </row>
    <row r="1156" spans="1:12">
      <c r="A1156" s="3" t="s">
        <v>2415</v>
      </c>
      <c r="B1156" s="4" t="s">
        <v>2416</v>
      </c>
      <c r="C1156" s="4" t="s">
        <v>445</v>
      </c>
      <c r="D1156" s="4" t="s">
        <v>489</v>
      </c>
      <c r="E1156" s="4" t="s">
        <v>490</v>
      </c>
      <c r="F1156" s="4" t="s">
        <v>45</v>
      </c>
      <c r="G1156" s="4" t="s">
        <v>408</v>
      </c>
      <c r="H1156" s="5">
        <f>ROUND(1400,0)</f>
        <v>1400</v>
      </c>
      <c r="I1156" s="6">
        <f>ROUND(5491,2)</f>
        <v>5491</v>
      </c>
      <c r="J1156" s="6">
        <f>ROUND(8.407077,2)</f>
        <v>8.41</v>
      </c>
      <c r="K1156" s="5">
        <f>ROUND(646285.64,0)</f>
        <v>646286</v>
      </c>
      <c r="L1156" s="7">
        <f>ROUND(0.000224611840159071,4)</f>
        <v>2.0000000000000001E-4</v>
      </c>
    </row>
    <row r="1157" spans="1:12">
      <c r="A1157" s="3" t="s">
        <v>2417</v>
      </c>
      <c r="B1157" s="4" t="s">
        <v>2418</v>
      </c>
      <c r="C1157" s="4" t="s">
        <v>400</v>
      </c>
      <c r="D1157" s="4" t="s">
        <v>407</v>
      </c>
      <c r="E1157" s="4" t="s">
        <v>35</v>
      </c>
      <c r="F1157" s="4" t="s">
        <v>21</v>
      </c>
      <c r="G1157" s="4" t="s">
        <v>408</v>
      </c>
      <c r="H1157" s="5">
        <f>ROUND(1600,0)</f>
        <v>1600</v>
      </c>
      <c r="I1157" s="6">
        <f>ROUND(44.41,2)</f>
        <v>44.41</v>
      </c>
      <c r="J1157" s="6">
        <f>ROUND(9.08595,2)</f>
        <v>9.09</v>
      </c>
      <c r="K1157" s="5">
        <f>ROUND(645611.26,0)</f>
        <v>645611</v>
      </c>
      <c r="L1157" s="7">
        <f>ROUND(0.000224377464329884,4)</f>
        <v>2.0000000000000001E-4</v>
      </c>
    </row>
    <row r="1158" spans="1:12">
      <c r="A1158" s="3" t="s">
        <v>2419</v>
      </c>
      <c r="B1158" s="4" t="s">
        <v>2420</v>
      </c>
      <c r="C1158" s="4" t="s">
        <v>400</v>
      </c>
      <c r="D1158" s="4" t="s">
        <v>655</v>
      </c>
      <c r="E1158" s="4" t="s">
        <v>656</v>
      </c>
      <c r="F1158" s="4" t="s">
        <v>26</v>
      </c>
      <c r="G1158" s="4" t="s">
        <v>408</v>
      </c>
      <c r="H1158" s="5">
        <f>ROUND(181000,0)</f>
        <v>181000</v>
      </c>
      <c r="I1158" s="6">
        <f>ROUND(3.07,2)</f>
        <v>3.07</v>
      </c>
      <c r="J1158" s="6">
        <f>ROUND(1.15901246,2)</f>
        <v>1.1599999999999999</v>
      </c>
      <c r="K1158" s="5">
        <f>ROUND(644028.45,0)</f>
        <v>644028</v>
      </c>
      <c r="L1158" s="7">
        <f>ROUND(0.00022382737030842,4)</f>
        <v>2.0000000000000001E-4</v>
      </c>
    </row>
    <row r="1159" spans="1:12">
      <c r="A1159" s="3" t="s">
        <v>2421</v>
      </c>
      <c r="B1159" s="4" t="s">
        <v>2422</v>
      </c>
      <c r="C1159" s="4" t="s">
        <v>400</v>
      </c>
      <c r="D1159" s="4" t="s">
        <v>2327</v>
      </c>
      <c r="E1159" s="4" t="s">
        <v>2328</v>
      </c>
      <c r="F1159" s="4" t="s">
        <v>18</v>
      </c>
      <c r="G1159" s="4" t="s">
        <v>408</v>
      </c>
      <c r="H1159" s="5">
        <f>ROUND(2141,0)</f>
        <v>2141</v>
      </c>
      <c r="I1159" s="6">
        <f>ROUND(30.34,2)</f>
        <v>30.34</v>
      </c>
      <c r="J1159" s="6">
        <f>ROUND(9.9055,2)</f>
        <v>9.91</v>
      </c>
      <c r="K1159" s="5">
        <f>ROUND(643440.87,0)</f>
        <v>643441</v>
      </c>
      <c r="L1159" s="7">
        <f>ROUND(0.000223623161183426,4)</f>
        <v>2.0000000000000001E-4</v>
      </c>
    </row>
    <row r="1160" spans="1:12">
      <c r="A1160" s="3" t="s">
        <v>2423</v>
      </c>
      <c r="B1160" s="4" t="s">
        <v>2424</v>
      </c>
      <c r="C1160" s="4" t="s">
        <v>566</v>
      </c>
      <c r="D1160" s="4" t="s">
        <v>407</v>
      </c>
      <c r="E1160" s="4" t="s">
        <v>35</v>
      </c>
      <c r="F1160" s="4" t="s">
        <v>21</v>
      </c>
      <c r="G1160" s="4" t="s">
        <v>408</v>
      </c>
      <c r="H1160" s="5">
        <f>ROUND(1333,0)</f>
        <v>1333</v>
      </c>
      <c r="I1160" s="6">
        <f>ROUND(53.01,2)</f>
        <v>53.01</v>
      </c>
      <c r="J1160" s="6">
        <f>ROUND(9.08595,2)</f>
        <v>9.09</v>
      </c>
      <c r="K1160" s="5">
        <f>ROUND(642034.4,0)</f>
        <v>642034</v>
      </c>
      <c r="L1160" s="7">
        <f>ROUND(0.000223134352837277,4)</f>
        <v>2.0000000000000001E-4</v>
      </c>
    </row>
    <row r="1161" spans="1:12">
      <c r="A1161" s="3" t="s">
        <v>2425</v>
      </c>
      <c r="B1161" s="4" t="s">
        <v>2426</v>
      </c>
      <c r="C1161" s="4" t="s">
        <v>422</v>
      </c>
      <c r="D1161" s="4" t="s">
        <v>407</v>
      </c>
      <c r="E1161" s="4" t="s">
        <v>35</v>
      </c>
      <c r="F1161" s="4" t="s">
        <v>21</v>
      </c>
      <c r="G1161" s="4" t="s">
        <v>408</v>
      </c>
      <c r="H1161" s="5">
        <f>ROUND(1500,0)</f>
        <v>1500</v>
      </c>
      <c r="I1161" s="6">
        <f>ROUND(46.92,2)</f>
        <v>46.92</v>
      </c>
      <c r="J1161" s="6">
        <f>ROUND(9.08595,2)</f>
        <v>9.09</v>
      </c>
      <c r="K1161" s="5">
        <f>ROUND(639469.16,0)</f>
        <v>639469</v>
      </c>
      <c r="L1161" s="7">
        <f>ROUND(0.000222242822465583,4)</f>
        <v>2.0000000000000001E-4</v>
      </c>
    </row>
    <row r="1162" spans="1:12">
      <c r="A1162" s="3" t="s">
        <v>2427</v>
      </c>
      <c r="B1162" s="4" t="s">
        <v>2428</v>
      </c>
      <c r="C1162" s="4" t="s">
        <v>389</v>
      </c>
      <c r="D1162" s="4" t="s">
        <v>407</v>
      </c>
      <c r="E1162" s="4" t="s">
        <v>35</v>
      </c>
      <c r="F1162" s="4" t="s">
        <v>21</v>
      </c>
      <c r="G1162" s="4" t="s">
        <v>408</v>
      </c>
      <c r="H1162" s="5">
        <f>ROUND(309,0)</f>
        <v>309</v>
      </c>
      <c r="I1162" s="6">
        <f>ROUND(227.56,2)</f>
        <v>227.56</v>
      </c>
      <c r="J1162" s="6">
        <f>ROUND(9.08595,2)</f>
        <v>9.09</v>
      </c>
      <c r="K1162" s="5">
        <f>ROUND(638888.02,0)</f>
        <v>638888</v>
      </c>
      <c r="L1162" s="7">
        <f>ROUND(0.000222040851515416,4)</f>
        <v>2.0000000000000001E-4</v>
      </c>
    </row>
    <row r="1163" spans="1:12">
      <c r="A1163" s="3" t="s">
        <v>2429</v>
      </c>
      <c r="B1163" s="4" t="s">
        <v>2430</v>
      </c>
      <c r="C1163" s="4" t="s">
        <v>406</v>
      </c>
      <c r="D1163" s="4" t="s">
        <v>407</v>
      </c>
      <c r="E1163" s="4" t="s">
        <v>35</v>
      </c>
      <c r="F1163" s="4" t="s">
        <v>21</v>
      </c>
      <c r="G1163" s="4" t="s">
        <v>408</v>
      </c>
      <c r="H1163" s="5">
        <f>ROUND(500,0)</f>
        <v>500</v>
      </c>
      <c r="I1163" s="6">
        <f>ROUND(140.42,2)</f>
        <v>140.41999999999999</v>
      </c>
      <c r="J1163" s="6">
        <f>ROUND(9.08595,2)</f>
        <v>9.09</v>
      </c>
      <c r="K1163" s="5">
        <f>ROUND(637924.55,0)</f>
        <v>637925</v>
      </c>
      <c r="L1163" s="7">
        <f>ROUND(0.000221706004574304,4)</f>
        <v>2.0000000000000001E-4</v>
      </c>
    </row>
    <row r="1164" spans="1:12">
      <c r="A1164" s="3" t="s">
        <v>2431</v>
      </c>
      <c r="B1164" s="4" t="s">
        <v>2432</v>
      </c>
      <c r="C1164" s="4" t="s">
        <v>400</v>
      </c>
      <c r="D1164" s="4" t="s">
        <v>486</v>
      </c>
      <c r="E1164" s="4" t="s">
        <v>30</v>
      </c>
      <c r="F1164" s="4" t="s">
        <v>20</v>
      </c>
      <c r="G1164" s="4" t="s">
        <v>408</v>
      </c>
      <c r="H1164" s="5">
        <f>ROUND(4884,0)</f>
        <v>4884</v>
      </c>
      <c r="I1164" s="6">
        <f>ROUND(1166.5,2)</f>
        <v>1166.5</v>
      </c>
      <c r="J1164" s="6">
        <f>ROUND(11.19645077,2)</f>
        <v>11.2</v>
      </c>
      <c r="K1164" s="5">
        <f>ROUND(637882.63,0)</f>
        <v>637883</v>
      </c>
      <c r="L1164" s="7">
        <f>ROUND(0.000221691435585367,4)</f>
        <v>2.0000000000000001E-4</v>
      </c>
    </row>
    <row r="1165" spans="1:12">
      <c r="A1165" s="3" t="s">
        <v>2433</v>
      </c>
      <c r="B1165" s="4" t="s">
        <v>2434</v>
      </c>
      <c r="C1165" s="4" t="s">
        <v>545</v>
      </c>
      <c r="D1165" s="4" t="s">
        <v>407</v>
      </c>
      <c r="E1165" s="4" t="s">
        <v>35</v>
      </c>
      <c r="F1165" s="4" t="s">
        <v>21</v>
      </c>
      <c r="G1165" s="4" t="s">
        <v>408</v>
      </c>
      <c r="H1165" s="5">
        <f>ROUND(800,0)</f>
        <v>800</v>
      </c>
      <c r="I1165" s="6">
        <f>ROUND(87.68,2)</f>
        <v>87.68</v>
      </c>
      <c r="J1165" s="6">
        <f>ROUND(9.08595,2)</f>
        <v>9.09</v>
      </c>
      <c r="K1165" s="5">
        <f>ROUND(637324.88,0)</f>
        <v>637325</v>
      </c>
      <c r="L1165" s="7">
        <f>ROUND(0.000221497593658369,4)</f>
        <v>2.0000000000000001E-4</v>
      </c>
    </row>
    <row r="1166" spans="1:12">
      <c r="A1166" s="3" t="s">
        <v>2435</v>
      </c>
      <c r="B1166" s="4" t="s">
        <v>2436</v>
      </c>
      <c r="C1166" s="4" t="s">
        <v>400</v>
      </c>
      <c r="D1166" s="4" t="s">
        <v>577</v>
      </c>
      <c r="E1166" s="4" t="s">
        <v>578</v>
      </c>
      <c r="F1166" s="4" t="s">
        <v>18</v>
      </c>
      <c r="G1166" s="4" t="s">
        <v>408</v>
      </c>
      <c r="H1166" s="5">
        <f>ROUND(1045,0)</f>
        <v>1045</v>
      </c>
      <c r="I1166" s="6">
        <f>ROUND(61.48,2)</f>
        <v>61.48</v>
      </c>
      <c r="J1166" s="6">
        <f>ROUND(9.9055,2)</f>
        <v>9.91</v>
      </c>
      <c r="K1166" s="5">
        <f>ROUND(636394.7,0)</f>
        <v>636395</v>
      </c>
      <c r="L1166" s="7">
        <f>ROUND(0.00022117431641291,4)</f>
        <v>2.0000000000000001E-4</v>
      </c>
    </row>
    <row r="1167" spans="1:12">
      <c r="A1167" s="3" t="s">
        <v>2437</v>
      </c>
      <c r="B1167" s="4" t="s">
        <v>2438</v>
      </c>
      <c r="C1167" s="4" t="s">
        <v>389</v>
      </c>
      <c r="D1167" s="4" t="s">
        <v>486</v>
      </c>
      <c r="E1167" s="4" t="s">
        <v>30</v>
      </c>
      <c r="F1167" s="4" t="s">
        <v>20</v>
      </c>
      <c r="G1167" s="4" t="s">
        <v>408</v>
      </c>
      <c r="H1167" s="5">
        <f>ROUND(2610,0)</f>
        <v>2610</v>
      </c>
      <c r="I1167" s="6">
        <f>ROUND(2170,2)</f>
        <v>2170</v>
      </c>
      <c r="J1167" s="6">
        <f>ROUND(11.19645077,2)</f>
        <v>11.2</v>
      </c>
      <c r="K1167" s="5">
        <f>ROUND(634133.38,0)</f>
        <v>634133</v>
      </c>
      <c r="L1167" s="7">
        <f>ROUND(0.000220388411211011,4)</f>
        <v>2.0000000000000001E-4</v>
      </c>
    </row>
    <row r="1168" spans="1:12">
      <c r="A1168" s="3" t="s">
        <v>2439</v>
      </c>
      <c r="B1168" s="4" t="s">
        <v>2440</v>
      </c>
      <c r="C1168" s="4" t="s">
        <v>534</v>
      </c>
      <c r="D1168" s="4" t="s">
        <v>489</v>
      </c>
      <c r="E1168" s="4" t="s">
        <v>490</v>
      </c>
      <c r="F1168" s="4" t="s">
        <v>45</v>
      </c>
      <c r="G1168" s="4" t="s">
        <v>408</v>
      </c>
      <c r="H1168" s="5">
        <f>ROUND(1800,0)</f>
        <v>1800</v>
      </c>
      <c r="I1168" s="6">
        <f>ROUND(4185,2)</f>
        <v>4185</v>
      </c>
      <c r="J1168" s="6">
        <f>ROUND(8.407077,2)</f>
        <v>8.41</v>
      </c>
      <c r="K1168" s="5">
        <f>ROUND(633305.11,0)</f>
        <v>633305</v>
      </c>
      <c r="L1168" s="7">
        <f>ROUND(0.000220100552039564,4)</f>
        <v>2.0000000000000001E-4</v>
      </c>
    </row>
    <row r="1169" spans="1:12">
      <c r="A1169" s="3" t="s">
        <v>2441</v>
      </c>
      <c r="B1169" s="4" t="s">
        <v>2442</v>
      </c>
      <c r="C1169" s="4" t="s">
        <v>545</v>
      </c>
      <c r="D1169" s="4" t="s">
        <v>456</v>
      </c>
      <c r="E1169" s="4" t="s">
        <v>457</v>
      </c>
      <c r="F1169" s="4" t="s">
        <v>26</v>
      </c>
      <c r="G1169" s="4" t="s">
        <v>408</v>
      </c>
      <c r="H1169" s="5">
        <f>ROUND(171200,0)</f>
        <v>171200</v>
      </c>
      <c r="I1169" s="6">
        <f>ROUND(3.19,2)</f>
        <v>3.19</v>
      </c>
      <c r="J1169" s="6">
        <f>ROUND(1.15901246,2)</f>
        <v>1.1599999999999999</v>
      </c>
      <c r="K1169" s="5">
        <f>ROUND(632969.16,0)</f>
        <v>632969</v>
      </c>
      <c r="L1169" s="7">
        <f>ROUND(0.000219983795077888,4)</f>
        <v>2.0000000000000001E-4</v>
      </c>
    </row>
    <row r="1170" spans="1:12">
      <c r="A1170" s="3" t="s">
        <v>2443</v>
      </c>
      <c r="B1170" s="4" t="s">
        <v>2444</v>
      </c>
      <c r="C1170" s="4" t="s">
        <v>406</v>
      </c>
      <c r="D1170" s="4" t="s">
        <v>407</v>
      </c>
      <c r="E1170" s="4" t="s">
        <v>35</v>
      </c>
      <c r="F1170" s="4" t="s">
        <v>21</v>
      </c>
      <c r="G1170" s="4" t="s">
        <v>408</v>
      </c>
      <c r="H1170" s="5">
        <f>ROUND(291,0)</f>
        <v>291</v>
      </c>
      <c r="I1170" s="6">
        <f>ROUND(238.92,2)</f>
        <v>238.92</v>
      </c>
      <c r="J1170" s="6">
        <f>ROUND(9.08595,2)</f>
        <v>9.09</v>
      </c>
      <c r="K1170" s="5">
        <f>ROUND(631707.22,0)</f>
        <v>631707</v>
      </c>
      <c r="L1170" s="7">
        <f>ROUND(0.00021954521707456,4)</f>
        <v>2.0000000000000001E-4</v>
      </c>
    </row>
    <row r="1171" spans="1:12">
      <c r="A1171" s="3" t="s">
        <v>2445</v>
      </c>
      <c r="B1171" s="4" t="s">
        <v>2446</v>
      </c>
      <c r="C1171" s="4" t="s">
        <v>430</v>
      </c>
      <c r="D1171" s="4" t="s">
        <v>2447</v>
      </c>
      <c r="E1171" s="4" t="s">
        <v>2448</v>
      </c>
      <c r="F1171" s="4" t="s">
        <v>250</v>
      </c>
      <c r="G1171" s="4" t="s">
        <v>408</v>
      </c>
      <c r="H1171" s="5">
        <f>ROUND(2820,0)</f>
        <v>2820</v>
      </c>
      <c r="I1171" s="6">
        <f>ROUND(98.7,2)</f>
        <v>98.7</v>
      </c>
      <c r="J1171" s="6">
        <f>ROUND(2.26631585,2)</f>
        <v>2.27</v>
      </c>
      <c r="K1171" s="5">
        <f>ROUND(630792.76,0)</f>
        <v>630793</v>
      </c>
      <c r="L1171" s="7">
        <f>ROUND(0.000219227403199952,4)</f>
        <v>2.0000000000000001E-4</v>
      </c>
    </row>
    <row r="1172" spans="1:12">
      <c r="A1172" s="3" t="s">
        <v>2449</v>
      </c>
      <c r="B1172" s="4" t="s">
        <v>2450</v>
      </c>
      <c r="C1172" s="4" t="s">
        <v>422</v>
      </c>
      <c r="D1172" s="4" t="s">
        <v>423</v>
      </c>
      <c r="E1172" s="4" t="s">
        <v>25</v>
      </c>
      <c r="F1172" s="4" t="s">
        <v>20</v>
      </c>
      <c r="G1172" s="4" t="s">
        <v>408</v>
      </c>
      <c r="H1172" s="5">
        <f>ROUND(2117,0)</f>
        <v>2117</v>
      </c>
      <c r="I1172" s="6">
        <f>ROUND(2657,2)</f>
        <v>2657</v>
      </c>
      <c r="J1172" s="6">
        <f>ROUND(11.19645077,2)</f>
        <v>11.2</v>
      </c>
      <c r="K1172" s="5">
        <f>ROUND(629785.69,0)</f>
        <v>629786</v>
      </c>
      <c r="L1172" s="7">
        <f>ROUND(0.00021887740339821,4)</f>
        <v>2.0000000000000001E-4</v>
      </c>
    </row>
    <row r="1173" spans="1:12">
      <c r="A1173" s="3" t="s">
        <v>2451</v>
      </c>
      <c r="B1173" s="4" t="s">
        <v>2452</v>
      </c>
      <c r="C1173" s="4" t="s">
        <v>422</v>
      </c>
      <c r="D1173" s="4" t="s">
        <v>395</v>
      </c>
      <c r="E1173" s="4" t="s">
        <v>396</v>
      </c>
      <c r="F1173" s="4" t="s">
        <v>397</v>
      </c>
      <c r="G1173" s="4" t="s">
        <v>408</v>
      </c>
      <c r="H1173" s="5">
        <f>ROUND(7552,0)</f>
        <v>7552</v>
      </c>
      <c r="I1173" s="6">
        <f>ROUND(38.2,2)</f>
        <v>38.200000000000003</v>
      </c>
      <c r="J1173" s="6">
        <f>ROUND(2.18129969,2)</f>
        <v>2.1800000000000002</v>
      </c>
      <c r="K1173" s="5">
        <f>ROUND(629275.29,0)</f>
        <v>629275</v>
      </c>
      <c r="L1173" s="7">
        <f>ROUND(0.000218700017616875,4)</f>
        <v>2.0000000000000001E-4</v>
      </c>
    </row>
    <row r="1174" spans="1:12">
      <c r="A1174" s="3" t="s">
        <v>2453</v>
      </c>
      <c r="B1174" s="4" t="s">
        <v>2454</v>
      </c>
      <c r="C1174" s="4" t="s">
        <v>415</v>
      </c>
      <c r="D1174" s="4" t="s">
        <v>407</v>
      </c>
      <c r="E1174" s="4" t="s">
        <v>35</v>
      </c>
      <c r="F1174" s="4" t="s">
        <v>21</v>
      </c>
      <c r="G1174" s="4" t="s">
        <v>408</v>
      </c>
      <c r="H1174" s="5">
        <f>ROUND(2195,0)</f>
        <v>2195</v>
      </c>
      <c r="I1174" s="6">
        <f>ROUND(31.535,2)</f>
        <v>31.54</v>
      </c>
      <c r="J1174" s="6">
        <f>ROUND(9.08595,2)</f>
        <v>9.09</v>
      </c>
      <c r="K1174" s="5">
        <f>ROUND(628923.37,0)</f>
        <v>628923</v>
      </c>
      <c r="L1174" s="7">
        <f>ROUND(0.000218577710398678,4)</f>
        <v>2.0000000000000001E-4</v>
      </c>
    </row>
    <row r="1175" spans="1:12">
      <c r="A1175" s="3" t="s">
        <v>2455</v>
      </c>
      <c r="B1175" s="4" t="s">
        <v>2456</v>
      </c>
      <c r="C1175" s="4" t="s">
        <v>534</v>
      </c>
      <c r="D1175" s="4" t="s">
        <v>407</v>
      </c>
      <c r="E1175" s="4" t="s">
        <v>35</v>
      </c>
      <c r="F1175" s="4" t="s">
        <v>21</v>
      </c>
      <c r="G1175" s="4" t="s">
        <v>408</v>
      </c>
      <c r="H1175" s="5">
        <f>ROUND(555,0)</f>
        <v>555</v>
      </c>
      <c r="I1175" s="6">
        <f>ROUND(124.64,2)</f>
        <v>124.64</v>
      </c>
      <c r="J1175" s="6">
        <f>ROUND(9.08595,2)</f>
        <v>9.09</v>
      </c>
      <c r="K1175" s="5">
        <f>ROUND(628522.41,0)</f>
        <v>628522</v>
      </c>
      <c r="L1175" s="7">
        <f>ROUND(0.000218438359687698,4)</f>
        <v>2.0000000000000001E-4</v>
      </c>
    </row>
    <row r="1176" spans="1:12">
      <c r="A1176" s="3" t="s">
        <v>2457</v>
      </c>
      <c r="B1176" s="4" t="s">
        <v>2458</v>
      </c>
      <c r="C1176" s="4" t="s">
        <v>545</v>
      </c>
      <c r="D1176" s="4" t="s">
        <v>407</v>
      </c>
      <c r="E1176" s="4" t="s">
        <v>35</v>
      </c>
      <c r="F1176" s="4" t="s">
        <v>21</v>
      </c>
      <c r="G1176" s="4" t="s">
        <v>408</v>
      </c>
      <c r="H1176" s="5">
        <f>ROUND(2317,0)</f>
        <v>2317</v>
      </c>
      <c r="I1176" s="6">
        <f>ROUND(29.8,2)</f>
        <v>29.8</v>
      </c>
      <c r="J1176" s="6">
        <f>ROUND(9.08595,2)</f>
        <v>9.09</v>
      </c>
      <c r="K1176" s="5">
        <f>ROUND(627353.96,0)</f>
        <v>627354</v>
      </c>
      <c r="L1176" s="7">
        <f>ROUND(0.000218032273449059,4)</f>
        <v>2.0000000000000001E-4</v>
      </c>
    </row>
    <row r="1177" spans="1:12">
      <c r="A1177" s="3" t="s">
        <v>2459</v>
      </c>
      <c r="B1177" s="4" t="s">
        <v>2460</v>
      </c>
      <c r="C1177" s="4" t="s">
        <v>400</v>
      </c>
      <c r="D1177" s="4" t="s">
        <v>2063</v>
      </c>
      <c r="E1177" s="4" t="s">
        <v>2064</v>
      </c>
      <c r="F1177" s="4" t="s">
        <v>2065</v>
      </c>
      <c r="G1177" s="4" t="s">
        <v>408</v>
      </c>
      <c r="H1177" s="5">
        <f>ROUND(1658,0)</f>
        <v>1658</v>
      </c>
      <c r="I1177" s="6">
        <f>ROUND(12790,2)</f>
        <v>12790</v>
      </c>
      <c r="J1177" s="6">
        <f>ROUND(0.02957175,2)</f>
        <v>0.03</v>
      </c>
      <c r="K1177" s="5">
        <f>ROUND(627093.21,0)</f>
        <v>627093</v>
      </c>
      <c r="L1177" s="7">
        <f>ROUND(0.000217941651696545,4)</f>
        <v>2.0000000000000001E-4</v>
      </c>
    </row>
    <row r="1178" spans="1:12">
      <c r="A1178" s="3" t="s">
        <v>2461</v>
      </c>
      <c r="B1178" s="4" t="s">
        <v>2462</v>
      </c>
      <c r="C1178" s="4" t="s">
        <v>400</v>
      </c>
      <c r="D1178" s="4" t="s">
        <v>423</v>
      </c>
      <c r="E1178" s="4" t="s">
        <v>25</v>
      </c>
      <c r="F1178" s="4" t="s">
        <v>16</v>
      </c>
      <c r="G1178" s="4" t="s">
        <v>408</v>
      </c>
      <c r="H1178" s="5">
        <f>ROUND(1556,0)</f>
        <v>1556</v>
      </c>
      <c r="I1178" s="6">
        <f>ROUND(44.22,2)</f>
        <v>44.22</v>
      </c>
      <c r="J1178" s="6">
        <f>ROUND(9.11185723,2)</f>
        <v>9.11</v>
      </c>
      <c r="K1178" s="5">
        <f>ROUND(626953.36,0)</f>
        <v>626953</v>
      </c>
      <c r="L1178" s="7">
        <f>ROUND(0.000217893047853442,4)</f>
        <v>2.0000000000000001E-4</v>
      </c>
    </row>
    <row r="1179" spans="1:12">
      <c r="A1179" s="3" t="s">
        <v>2463</v>
      </c>
      <c r="B1179" s="4" t="s">
        <v>2464</v>
      </c>
      <c r="C1179" s="4" t="s">
        <v>545</v>
      </c>
      <c r="D1179" s="4" t="s">
        <v>489</v>
      </c>
      <c r="E1179" s="4" t="s">
        <v>490</v>
      </c>
      <c r="F1179" s="4" t="s">
        <v>45</v>
      </c>
      <c r="G1179" s="4" t="s">
        <v>408</v>
      </c>
      <c r="H1179" s="5">
        <f>ROUND(7000,0)</f>
        <v>7000</v>
      </c>
      <c r="I1179" s="6">
        <f>ROUND(1064,2)</f>
        <v>1064</v>
      </c>
      <c r="J1179" s="6">
        <f>ROUND(8.407077,2)</f>
        <v>8.41</v>
      </c>
      <c r="K1179" s="5">
        <f>ROUND(626159.09,0)</f>
        <v>626159</v>
      </c>
      <c r="L1179" s="7">
        <f>ROUND(0.000217617005132946,4)</f>
        <v>2.0000000000000001E-4</v>
      </c>
    </row>
    <row r="1180" spans="1:12">
      <c r="A1180" s="3" t="s">
        <v>2465</v>
      </c>
      <c r="B1180" s="4" t="s">
        <v>2466</v>
      </c>
      <c r="C1180" s="4" t="s">
        <v>389</v>
      </c>
      <c r="D1180" s="4" t="s">
        <v>489</v>
      </c>
      <c r="E1180" s="4" t="s">
        <v>490</v>
      </c>
      <c r="F1180" s="4" t="s">
        <v>45</v>
      </c>
      <c r="G1180" s="4" t="s">
        <v>408</v>
      </c>
      <c r="H1180" s="5">
        <f>ROUND(1200,0)</f>
        <v>1200</v>
      </c>
      <c r="I1180" s="6">
        <f>ROUND(6200,2)</f>
        <v>6200</v>
      </c>
      <c r="J1180" s="6">
        <f>ROUND(8.407077,2)</f>
        <v>8.41</v>
      </c>
      <c r="K1180" s="5">
        <f>ROUND(625486.53,0)</f>
        <v>625487</v>
      </c>
      <c r="L1180" s="7">
        <f>ROUND(0.000217383261831428,4)</f>
        <v>2.0000000000000001E-4</v>
      </c>
    </row>
    <row r="1181" spans="1:12">
      <c r="A1181" s="3" t="s">
        <v>2467</v>
      </c>
      <c r="B1181" s="4" t="s">
        <v>2468</v>
      </c>
      <c r="C1181" s="4" t="s">
        <v>400</v>
      </c>
      <c r="D1181" s="4" t="s">
        <v>390</v>
      </c>
      <c r="E1181" s="4" t="s">
        <v>391</v>
      </c>
      <c r="F1181" s="4" t="s">
        <v>72</v>
      </c>
      <c r="G1181" s="4" t="s">
        <v>408</v>
      </c>
      <c r="H1181" s="5">
        <f>ROUND(8094,0)</f>
        <v>8094</v>
      </c>
      <c r="I1181" s="6">
        <f>ROUND(12.56,2)</f>
        <v>12.56</v>
      </c>
      <c r="J1181" s="6">
        <f>ROUND(6.12812423,2)</f>
        <v>6.13</v>
      </c>
      <c r="K1181" s="5">
        <f>ROUND(622989.03,0)</f>
        <v>622989</v>
      </c>
      <c r="L1181" s="7">
        <f>ROUND(0.000216515274000541,4)</f>
        <v>2.0000000000000001E-4</v>
      </c>
    </row>
    <row r="1182" spans="1:12">
      <c r="A1182" s="3" t="s">
        <v>2469</v>
      </c>
      <c r="B1182" s="4" t="s">
        <v>2470</v>
      </c>
      <c r="C1182" s="4" t="s">
        <v>534</v>
      </c>
      <c r="D1182" s="4" t="s">
        <v>489</v>
      </c>
      <c r="E1182" s="4" t="s">
        <v>490</v>
      </c>
      <c r="F1182" s="4" t="s">
        <v>45</v>
      </c>
      <c r="G1182" s="4" t="s">
        <v>408</v>
      </c>
      <c r="H1182" s="5">
        <f>ROUND(3900,0)</f>
        <v>3900</v>
      </c>
      <c r="I1182" s="6">
        <f>ROUND(1900,2)</f>
        <v>1900</v>
      </c>
      <c r="J1182" s="6">
        <f>ROUND(8.407077,2)</f>
        <v>8.41</v>
      </c>
      <c r="K1182" s="5">
        <f>ROUND(622964.41,0)</f>
        <v>622964</v>
      </c>
      <c r="L1182" s="7">
        <f>ROUND(0.000216506717499881,4)</f>
        <v>2.0000000000000001E-4</v>
      </c>
    </row>
    <row r="1183" spans="1:12">
      <c r="A1183" s="3" t="s">
        <v>2471</v>
      </c>
      <c r="B1183" s="4" t="s">
        <v>2472</v>
      </c>
      <c r="C1183" s="4" t="s">
        <v>430</v>
      </c>
      <c r="D1183" s="4" t="s">
        <v>514</v>
      </c>
      <c r="E1183" s="4" t="s">
        <v>515</v>
      </c>
      <c r="F1183" s="4" t="s">
        <v>190</v>
      </c>
      <c r="G1183" s="4" t="s">
        <v>408</v>
      </c>
      <c r="H1183" s="5">
        <f>ROUND(4112,0)</f>
        <v>4112</v>
      </c>
      <c r="I1183" s="6">
        <f>ROUND(22.07,2)</f>
        <v>22.07</v>
      </c>
      <c r="J1183" s="6">
        <f>ROUND(6.86237833,2)</f>
        <v>6.86</v>
      </c>
      <c r="K1183" s="5">
        <f>ROUND(622773.46,0)</f>
        <v>622773</v>
      </c>
      <c r="L1183" s="7">
        <f>ROUND(0.000216440354226084,4)</f>
        <v>2.0000000000000001E-4</v>
      </c>
    </row>
    <row r="1184" spans="1:12">
      <c r="A1184" s="3" t="s">
        <v>2473</v>
      </c>
      <c r="B1184" s="4" t="s">
        <v>2474</v>
      </c>
      <c r="C1184" s="4" t="s">
        <v>400</v>
      </c>
      <c r="D1184" s="4" t="s">
        <v>489</v>
      </c>
      <c r="E1184" s="4" t="s">
        <v>490</v>
      </c>
      <c r="F1184" s="4" t="s">
        <v>45</v>
      </c>
      <c r="G1184" s="4" t="s">
        <v>408</v>
      </c>
      <c r="H1184" s="5">
        <f>ROUND(1900,0)</f>
        <v>1900</v>
      </c>
      <c r="I1184" s="6">
        <f>ROUND(3896,2)</f>
        <v>3896</v>
      </c>
      <c r="J1184" s="6">
        <f>ROUND(8.407077,2)</f>
        <v>8.41</v>
      </c>
      <c r="K1184" s="5">
        <f>ROUND(622325.47,0)</f>
        <v>622325</v>
      </c>
      <c r="L1184" s="7">
        <f>ROUND(0.000216284658583098,4)</f>
        <v>2.0000000000000001E-4</v>
      </c>
    </row>
    <row r="1185" spans="1:12">
      <c r="A1185" s="3" t="s">
        <v>2475</v>
      </c>
      <c r="B1185" s="4" t="s">
        <v>2476</v>
      </c>
      <c r="C1185" s="4" t="s">
        <v>566</v>
      </c>
      <c r="D1185" s="4" t="s">
        <v>407</v>
      </c>
      <c r="E1185" s="4" t="s">
        <v>35</v>
      </c>
      <c r="F1185" s="4" t="s">
        <v>21</v>
      </c>
      <c r="G1185" s="4" t="s">
        <v>408</v>
      </c>
      <c r="H1185" s="5">
        <f>ROUND(500,0)</f>
        <v>500</v>
      </c>
      <c r="I1185" s="6">
        <f>ROUND(136.14,2)</f>
        <v>136.13999999999999</v>
      </c>
      <c r="J1185" s="6">
        <f>ROUND(9.08595,2)</f>
        <v>9.09</v>
      </c>
      <c r="K1185" s="5">
        <f>ROUND(618480.62,0)</f>
        <v>618481</v>
      </c>
      <c r="L1185" s="7">
        <f>ROUND(0.000214948409129009,4)</f>
        <v>2.0000000000000001E-4</v>
      </c>
    </row>
    <row r="1186" spans="1:12">
      <c r="A1186" s="3" t="s">
        <v>2477</v>
      </c>
      <c r="B1186" s="4" t="s">
        <v>2478</v>
      </c>
      <c r="C1186" s="4" t="s">
        <v>534</v>
      </c>
      <c r="D1186" s="4" t="s">
        <v>486</v>
      </c>
      <c r="E1186" s="4" t="s">
        <v>30</v>
      </c>
      <c r="F1186" s="4" t="s">
        <v>20</v>
      </c>
      <c r="G1186" s="4" t="s">
        <v>408</v>
      </c>
      <c r="H1186" s="5">
        <f>ROUND(2598,0)</f>
        <v>2598</v>
      </c>
      <c r="I1186" s="6">
        <f>ROUND(2125,2)</f>
        <v>2125</v>
      </c>
      <c r="J1186" s="6">
        <f>ROUND(11.19645077,2)</f>
        <v>11.2</v>
      </c>
      <c r="K1186" s="5">
        <f>ROUND(618128.06,0)</f>
        <v>618128</v>
      </c>
      <c r="L1186" s="7">
        <f>ROUND(0.0002148258794835,4)</f>
        <v>2.0000000000000001E-4</v>
      </c>
    </row>
    <row r="1187" spans="1:12">
      <c r="A1187" s="3" t="s">
        <v>2479</v>
      </c>
      <c r="B1187" s="4" t="s">
        <v>2480</v>
      </c>
      <c r="C1187" s="4" t="s">
        <v>445</v>
      </c>
      <c r="D1187" s="4" t="s">
        <v>407</v>
      </c>
      <c r="E1187" s="4" t="s">
        <v>35</v>
      </c>
      <c r="F1187" s="4" t="s">
        <v>21</v>
      </c>
      <c r="G1187" s="4" t="s">
        <v>408</v>
      </c>
      <c r="H1187" s="5">
        <f>ROUND(1007,0)</f>
        <v>1007</v>
      </c>
      <c r="I1187" s="6">
        <f>ROUND(67.4,2)</f>
        <v>67.400000000000006</v>
      </c>
      <c r="J1187" s="6">
        <f>ROUND(9.08595,2)</f>
        <v>9.09</v>
      </c>
      <c r="K1187" s="5">
        <f>ROUND(616679.78,0)</f>
        <v>616680</v>
      </c>
      <c r="L1187" s="7">
        <f>ROUND(0.000214322540378108,4)</f>
        <v>2.0000000000000001E-4</v>
      </c>
    </row>
    <row r="1188" spans="1:12">
      <c r="A1188" s="3" t="s">
        <v>2481</v>
      </c>
      <c r="B1188" s="4" t="s">
        <v>2482</v>
      </c>
      <c r="C1188" s="4" t="s">
        <v>534</v>
      </c>
      <c r="D1188" s="4" t="s">
        <v>569</v>
      </c>
      <c r="E1188" s="4" t="s">
        <v>570</v>
      </c>
      <c r="F1188" s="4" t="s">
        <v>19</v>
      </c>
      <c r="G1188" s="4" t="s">
        <v>408</v>
      </c>
      <c r="H1188" s="5">
        <f>ROUND(60,0)</f>
        <v>60</v>
      </c>
      <c r="I1188" s="6">
        <f>ROUND(7746,2)</f>
        <v>7746</v>
      </c>
      <c r="J1188" s="6">
        <f>ROUND(1.3267035,2)</f>
        <v>1.33</v>
      </c>
      <c r="K1188" s="5">
        <f>ROUND(616598.72,0)</f>
        <v>616599</v>
      </c>
      <c r="L1188" s="7">
        <f>ROUND(0.00021429436856887,4)</f>
        <v>2.0000000000000001E-4</v>
      </c>
    </row>
    <row r="1189" spans="1:12">
      <c r="A1189" s="3" t="s">
        <v>2483</v>
      </c>
      <c r="B1189" s="4" t="s">
        <v>2484</v>
      </c>
      <c r="C1189" s="4" t="s">
        <v>400</v>
      </c>
      <c r="D1189" s="4" t="s">
        <v>489</v>
      </c>
      <c r="E1189" s="4" t="s">
        <v>490</v>
      </c>
      <c r="F1189" s="4" t="s">
        <v>45</v>
      </c>
      <c r="G1189" s="4" t="s">
        <v>408</v>
      </c>
      <c r="H1189" s="5">
        <f>ROUND(4300,0)</f>
        <v>4300</v>
      </c>
      <c r="I1189" s="6">
        <f>ROUND(1699,2)</f>
        <v>1699</v>
      </c>
      <c r="J1189" s="6">
        <f>ROUND(8.407077,2)</f>
        <v>8.41</v>
      </c>
      <c r="K1189" s="5">
        <f>ROUND(614195.82,0)</f>
        <v>614196</v>
      </c>
      <c r="L1189" s="7">
        <f>ROUND(0.00021345925827504,4)</f>
        <v>2.0000000000000001E-4</v>
      </c>
    </row>
    <row r="1190" spans="1:12">
      <c r="A1190" s="3" t="s">
        <v>2485</v>
      </c>
      <c r="B1190" s="4" t="s">
        <v>2486</v>
      </c>
      <c r="C1190" s="4" t="s">
        <v>415</v>
      </c>
      <c r="D1190" s="4" t="s">
        <v>655</v>
      </c>
      <c r="E1190" s="4" t="s">
        <v>656</v>
      </c>
      <c r="F1190" s="4" t="s">
        <v>26</v>
      </c>
      <c r="G1190" s="4" t="s">
        <v>408</v>
      </c>
      <c r="H1190" s="5">
        <f>ROUND(148000,0)</f>
        <v>148000</v>
      </c>
      <c r="I1190" s="6">
        <f>ROUND(3.57,2)</f>
        <v>3.57</v>
      </c>
      <c r="J1190" s="6">
        <f>ROUND(1.15901246,2)</f>
        <v>1.1599999999999999</v>
      </c>
      <c r="K1190" s="5">
        <f>ROUND(612375.82,0)</f>
        <v>612376</v>
      </c>
      <c r="L1190" s="7">
        <f>ROUND(0.000212826730606485,4)</f>
        <v>2.0000000000000001E-4</v>
      </c>
    </row>
    <row r="1191" spans="1:12">
      <c r="A1191" s="3" t="s">
        <v>2487</v>
      </c>
      <c r="B1191" s="4" t="s">
        <v>2488</v>
      </c>
      <c r="C1191" s="4" t="s">
        <v>389</v>
      </c>
      <c r="D1191" s="4" t="s">
        <v>514</v>
      </c>
      <c r="E1191" s="4" t="s">
        <v>515</v>
      </c>
      <c r="F1191" s="4" t="s">
        <v>190</v>
      </c>
      <c r="G1191" s="4" t="s">
        <v>408</v>
      </c>
      <c r="H1191" s="5">
        <f>ROUND(600,0)</f>
        <v>600</v>
      </c>
      <c r="I1191" s="6">
        <f>ROUND(148.67,2)</f>
        <v>148.66999999999999</v>
      </c>
      <c r="J1191" s="6">
        <f>ROUND(6.86237833,2)</f>
        <v>6.86</v>
      </c>
      <c r="K1191" s="5">
        <f>ROUND(612137.87,0)</f>
        <v>612138</v>
      </c>
      <c r="L1191" s="7">
        <f>ROUND(0.000212744032826962,4)</f>
        <v>2.0000000000000001E-4</v>
      </c>
    </row>
    <row r="1192" spans="1:12">
      <c r="A1192" s="3" t="s">
        <v>2489</v>
      </c>
      <c r="B1192" s="4" t="s">
        <v>2490</v>
      </c>
      <c r="C1192" s="4" t="s">
        <v>406</v>
      </c>
      <c r="D1192" s="4" t="s">
        <v>739</v>
      </c>
      <c r="E1192" s="4" t="s">
        <v>740</v>
      </c>
      <c r="F1192" s="4" t="s">
        <v>741</v>
      </c>
      <c r="G1192" s="4" t="s">
        <v>408</v>
      </c>
      <c r="H1192" s="5">
        <f>ROUND(423,0)</f>
        <v>423</v>
      </c>
      <c r="I1192" s="6">
        <f>ROUND(190500,2)</f>
        <v>190500</v>
      </c>
      <c r="J1192" s="6">
        <f>ROUND(0.00759599,2)</f>
        <v>0.01</v>
      </c>
      <c r="K1192" s="5">
        <f>ROUND(612096.27,0)</f>
        <v>612096</v>
      </c>
      <c r="L1192" s="7">
        <f>ROUND(0.000212729575051681,4)</f>
        <v>2.0000000000000001E-4</v>
      </c>
    </row>
    <row r="1193" spans="1:12">
      <c r="A1193" s="3" t="s">
        <v>2491</v>
      </c>
      <c r="B1193" s="4" t="s">
        <v>2492</v>
      </c>
      <c r="C1193" s="4" t="s">
        <v>493</v>
      </c>
      <c r="D1193" s="4" t="s">
        <v>1217</v>
      </c>
      <c r="E1193" s="4" t="s">
        <v>1218</v>
      </c>
      <c r="F1193" s="4" t="s">
        <v>26</v>
      </c>
      <c r="G1193" s="4" t="s">
        <v>408</v>
      </c>
      <c r="H1193" s="5">
        <f>ROUND(10000,0)</f>
        <v>10000</v>
      </c>
      <c r="I1193" s="6">
        <f>ROUND(52.75,2)</f>
        <v>52.75</v>
      </c>
      <c r="J1193" s="6">
        <f>ROUND(1.15901246,2)</f>
        <v>1.1599999999999999</v>
      </c>
      <c r="K1193" s="5">
        <f>ROUND(611379.07,0)</f>
        <v>611379</v>
      </c>
      <c r="L1193" s="7">
        <f>ROUND(0.000212480317445149,4)</f>
        <v>2.0000000000000001E-4</v>
      </c>
    </row>
    <row r="1194" spans="1:12">
      <c r="A1194" s="3" t="s">
        <v>2493</v>
      </c>
      <c r="B1194" s="4" t="s">
        <v>2494</v>
      </c>
      <c r="C1194" s="4" t="s">
        <v>566</v>
      </c>
      <c r="D1194" s="4" t="s">
        <v>456</v>
      </c>
      <c r="E1194" s="4" t="s">
        <v>457</v>
      </c>
      <c r="F1194" s="4" t="s">
        <v>26</v>
      </c>
      <c r="G1194" s="4" t="s">
        <v>408</v>
      </c>
      <c r="H1194" s="5">
        <f>ROUND(16000,0)</f>
        <v>16000</v>
      </c>
      <c r="I1194" s="6">
        <f>ROUND(32.85,2)</f>
        <v>32.85</v>
      </c>
      <c r="J1194" s="6">
        <f>ROUND(1.15901246,2)</f>
        <v>1.1599999999999999</v>
      </c>
      <c r="K1194" s="5">
        <f>ROUND(609176.95,0)</f>
        <v>609177</v>
      </c>
      <c r="L1194" s="7">
        <f>ROUND(0.000211714986769612,4)</f>
        <v>2.0000000000000001E-4</v>
      </c>
    </row>
    <row r="1195" spans="1:12">
      <c r="A1195" s="3" t="s">
        <v>2495</v>
      </c>
      <c r="B1195" s="4" t="s">
        <v>2496</v>
      </c>
      <c r="C1195" s="4" t="s">
        <v>445</v>
      </c>
      <c r="D1195" s="4" t="s">
        <v>489</v>
      </c>
      <c r="E1195" s="4" t="s">
        <v>490</v>
      </c>
      <c r="F1195" s="4" t="s">
        <v>45</v>
      </c>
      <c r="G1195" s="4" t="s">
        <v>408</v>
      </c>
      <c r="H1195" s="5">
        <f>ROUND(1000,0)</f>
        <v>1000</v>
      </c>
      <c r="I1195" s="6">
        <f>ROUND(7232,2)</f>
        <v>7232</v>
      </c>
      <c r="J1195" s="6">
        <f>ROUND(8.407077,2)</f>
        <v>8.41</v>
      </c>
      <c r="K1195" s="5">
        <f>ROUND(607999.81,0)</f>
        <v>608000</v>
      </c>
      <c r="L1195" s="7">
        <f>ROUND(0.000211305880385127,4)</f>
        <v>2.0000000000000001E-4</v>
      </c>
    </row>
    <row r="1196" spans="1:12">
      <c r="A1196" s="3" t="s">
        <v>2497</v>
      </c>
      <c r="B1196" s="4" t="s">
        <v>2498</v>
      </c>
      <c r="C1196" s="4" t="s">
        <v>534</v>
      </c>
      <c r="D1196" s="4" t="s">
        <v>486</v>
      </c>
      <c r="E1196" s="4" t="s">
        <v>30</v>
      </c>
      <c r="F1196" s="4" t="s">
        <v>20</v>
      </c>
      <c r="G1196" s="4" t="s">
        <v>408</v>
      </c>
      <c r="H1196" s="5">
        <f>ROUND(3805,0)</f>
        <v>3805</v>
      </c>
      <c r="I1196" s="6">
        <f>ROUND(1425.5,2)</f>
        <v>1425.5</v>
      </c>
      <c r="J1196" s="6">
        <f>ROUND(11.19645077,2)</f>
        <v>11.2</v>
      </c>
      <c r="K1196" s="5">
        <f>ROUND(607298.62,0)</f>
        <v>607299</v>
      </c>
      <c r="L1196" s="7">
        <f>ROUND(0.000211062186936823,4)</f>
        <v>2.0000000000000001E-4</v>
      </c>
    </row>
    <row r="1197" spans="1:12">
      <c r="A1197" s="3" t="s">
        <v>2499</v>
      </c>
      <c r="B1197" s="4" t="s">
        <v>2500</v>
      </c>
      <c r="C1197" s="4" t="s">
        <v>545</v>
      </c>
      <c r="D1197" s="4" t="s">
        <v>486</v>
      </c>
      <c r="E1197" s="4" t="s">
        <v>30</v>
      </c>
      <c r="F1197" s="4" t="s">
        <v>20</v>
      </c>
      <c r="G1197" s="4" t="s">
        <v>408</v>
      </c>
      <c r="H1197" s="5">
        <f>ROUND(1774,0)</f>
        <v>1774</v>
      </c>
      <c r="I1197" s="6">
        <f>ROUND(3057,2)</f>
        <v>3057</v>
      </c>
      <c r="J1197" s="6">
        <f>ROUND(11.19645077,2)</f>
        <v>11.2</v>
      </c>
      <c r="K1197" s="5">
        <f>ROUND(607196.74,0)</f>
        <v>607197</v>
      </c>
      <c r="L1197" s="7">
        <f>ROUND(0.000211026779289091,4)</f>
        <v>2.0000000000000001E-4</v>
      </c>
    </row>
    <row r="1198" spans="1:12">
      <c r="A1198" s="3" t="s">
        <v>2501</v>
      </c>
      <c r="B1198" s="4" t="s">
        <v>2502</v>
      </c>
      <c r="C1198" s="4" t="s">
        <v>493</v>
      </c>
      <c r="D1198" s="4" t="s">
        <v>552</v>
      </c>
      <c r="E1198" s="4" t="s">
        <v>553</v>
      </c>
      <c r="F1198" s="4" t="s">
        <v>26</v>
      </c>
      <c r="G1198" s="4" t="s">
        <v>408</v>
      </c>
      <c r="H1198" s="5">
        <f>ROUND(34000,0)</f>
        <v>34000</v>
      </c>
      <c r="I1198" s="6">
        <f>ROUND(15.34,2)</f>
        <v>15.34</v>
      </c>
      <c r="J1198" s="6">
        <f>ROUND(1.15901246,2)</f>
        <v>1.1599999999999999</v>
      </c>
      <c r="K1198" s="5">
        <f>ROUND(604494.54,0)</f>
        <v>604495</v>
      </c>
      <c r="L1198" s="7">
        <f>ROUND(0.000210087649472625,4)</f>
        <v>2.0000000000000001E-4</v>
      </c>
    </row>
    <row r="1199" spans="1:12">
      <c r="A1199" s="3" t="s">
        <v>2503</v>
      </c>
      <c r="B1199" s="4" t="s">
        <v>2504</v>
      </c>
      <c r="C1199" s="4" t="s">
        <v>534</v>
      </c>
      <c r="D1199" s="4" t="s">
        <v>486</v>
      </c>
      <c r="E1199" s="4" t="s">
        <v>30</v>
      </c>
      <c r="F1199" s="4" t="s">
        <v>20</v>
      </c>
      <c r="G1199" s="4" t="s">
        <v>408</v>
      </c>
      <c r="H1199" s="5">
        <f>ROUND(2384,0)</f>
        <v>2384</v>
      </c>
      <c r="I1199" s="6">
        <f>ROUND(2264,2)</f>
        <v>2264</v>
      </c>
      <c r="J1199" s="6">
        <f>ROUND(11.19645077,2)</f>
        <v>11.2</v>
      </c>
      <c r="K1199" s="5">
        <f>ROUND(604314.55,0)</f>
        <v>604315</v>
      </c>
      <c r="L1199" s="7">
        <f>ROUND(0.000210025095266546,4)</f>
        <v>2.0000000000000001E-4</v>
      </c>
    </row>
    <row r="1200" spans="1:12">
      <c r="A1200" s="3" t="s">
        <v>2505</v>
      </c>
      <c r="B1200" s="4" t="s">
        <v>2506</v>
      </c>
      <c r="C1200" s="4" t="s">
        <v>534</v>
      </c>
      <c r="D1200" s="4" t="s">
        <v>407</v>
      </c>
      <c r="E1200" s="4" t="s">
        <v>35</v>
      </c>
      <c r="F1200" s="4" t="s">
        <v>21</v>
      </c>
      <c r="G1200" s="4" t="s">
        <v>408</v>
      </c>
      <c r="H1200" s="5">
        <f>ROUND(500,0)</f>
        <v>500</v>
      </c>
      <c r="I1200" s="6">
        <f>ROUND(133.01,2)</f>
        <v>133.01</v>
      </c>
      <c r="J1200" s="6">
        <f>ROUND(9.08595,2)</f>
        <v>9.09</v>
      </c>
      <c r="K1200" s="5">
        <f>ROUND(604261.1,0)</f>
        <v>604261</v>
      </c>
      <c r="L1200" s="7">
        <f>ROUND(0.000210006519110566,4)</f>
        <v>2.0000000000000001E-4</v>
      </c>
    </row>
    <row r="1201" spans="1:12">
      <c r="A1201" s="3" t="s">
        <v>2507</v>
      </c>
      <c r="B1201" s="4" t="s">
        <v>2508</v>
      </c>
      <c r="C1201" s="4" t="s">
        <v>406</v>
      </c>
      <c r="D1201" s="4" t="s">
        <v>407</v>
      </c>
      <c r="E1201" s="4" t="s">
        <v>35</v>
      </c>
      <c r="F1201" s="4" t="s">
        <v>21</v>
      </c>
      <c r="G1201" s="4" t="s">
        <v>408</v>
      </c>
      <c r="H1201" s="5">
        <f>ROUND(438,0)</f>
        <v>438</v>
      </c>
      <c r="I1201" s="6">
        <f>ROUND(150.06,2)</f>
        <v>150.06</v>
      </c>
      <c r="J1201" s="6">
        <f>ROUND(9.08595,2)</f>
        <v>9.09</v>
      </c>
      <c r="K1201" s="5">
        <f>ROUND(597185.69,0)</f>
        <v>597186</v>
      </c>
      <c r="L1201" s="7">
        <f>ROUND(0.000207547512192232,4)</f>
        <v>2.0000000000000001E-4</v>
      </c>
    </row>
    <row r="1202" spans="1:12">
      <c r="A1202" s="3" t="s">
        <v>2509</v>
      </c>
      <c r="B1202" s="4" t="s">
        <v>2510</v>
      </c>
      <c r="C1202" s="4" t="s">
        <v>422</v>
      </c>
      <c r="D1202" s="4" t="s">
        <v>390</v>
      </c>
      <c r="E1202" s="4" t="s">
        <v>391</v>
      </c>
      <c r="F1202" s="4" t="s">
        <v>72</v>
      </c>
      <c r="G1202" s="4" t="s">
        <v>408</v>
      </c>
      <c r="H1202" s="5">
        <f>ROUND(9148,0)</f>
        <v>9148</v>
      </c>
      <c r="I1202" s="6">
        <f>ROUND(10.65,2)</f>
        <v>10.65</v>
      </c>
      <c r="J1202" s="6">
        <f>ROUND(6.12812423,2)</f>
        <v>6.13</v>
      </c>
      <c r="K1202" s="5">
        <f>ROUND(597039.86,0)</f>
        <v>597040</v>
      </c>
      <c r="L1202" s="7">
        <f>ROUND(0.000207496830043932,4)</f>
        <v>2.0000000000000001E-4</v>
      </c>
    </row>
    <row r="1203" spans="1:12">
      <c r="A1203" s="3" t="s">
        <v>2511</v>
      </c>
      <c r="B1203" s="4" t="s">
        <v>2512</v>
      </c>
      <c r="C1203" s="4" t="s">
        <v>422</v>
      </c>
      <c r="D1203" s="4" t="s">
        <v>1221</v>
      </c>
      <c r="E1203" s="4" t="s">
        <v>1222</v>
      </c>
      <c r="F1203" s="4" t="s">
        <v>1223</v>
      </c>
      <c r="G1203" s="4" t="s">
        <v>408</v>
      </c>
      <c r="H1203" s="5">
        <f>ROUND(24300,0)</f>
        <v>24300</v>
      </c>
      <c r="I1203" s="6">
        <f>ROUND(3.73,2)</f>
        <v>3.73</v>
      </c>
      <c r="J1203" s="6">
        <f>ROUND(6.57015886,2)</f>
        <v>6.57</v>
      </c>
      <c r="K1203" s="5">
        <f>ROUND(595512.63,0)</f>
        <v>595513</v>
      </c>
      <c r="L1203" s="7">
        <f>ROUND(0.000206966052444346,4)</f>
        <v>2.0000000000000001E-4</v>
      </c>
    </row>
    <row r="1204" spans="1:12">
      <c r="A1204" s="3" t="s">
        <v>2513</v>
      </c>
      <c r="B1204" s="4" t="s">
        <v>2514</v>
      </c>
      <c r="C1204" s="4" t="s">
        <v>389</v>
      </c>
      <c r="D1204" s="4" t="s">
        <v>789</v>
      </c>
      <c r="E1204" s="4" t="s">
        <v>790</v>
      </c>
      <c r="F1204" s="4" t="s">
        <v>791</v>
      </c>
      <c r="G1204" s="4" t="s">
        <v>408</v>
      </c>
      <c r="H1204" s="5">
        <f>ROUND(3645,0)</f>
        <v>3645</v>
      </c>
      <c r="I1204" s="6">
        <f>ROUND(1273.05,2)</f>
        <v>1273.05</v>
      </c>
      <c r="J1204" s="6">
        <f>ROUND(0.12820804,2)</f>
        <v>0.13</v>
      </c>
      <c r="K1204" s="5">
        <f>ROUND(594919.57,0)</f>
        <v>594920</v>
      </c>
      <c r="L1204" s="7">
        <f>ROUND(0.000206759938785493,4)</f>
        <v>2.0000000000000001E-4</v>
      </c>
    </row>
    <row r="1205" spans="1:12">
      <c r="A1205" s="3" t="s">
        <v>2515</v>
      </c>
      <c r="B1205" s="4" t="s">
        <v>2516</v>
      </c>
      <c r="C1205" s="4" t="s">
        <v>445</v>
      </c>
      <c r="D1205" s="4" t="s">
        <v>723</v>
      </c>
      <c r="E1205" s="4" t="s">
        <v>724</v>
      </c>
      <c r="F1205" s="4" t="s">
        <v>18</v>
      </c>
      <c r="G1205" s="4" t="s">
        <v>408</v>
      </c>
      <c r="H1205" s="5">
        <f>ROUND(2219,0)</f>
        <v>2219</v>
      </c>
      <c r="I1205" s="6">
        <f>ROUND(27.04,2)</f>
        <v>27.04</v>
      </c>
      <c r="J1205" s="6">
        <f>ROUND(9.9055,2)</f>
        <v>9.91</v>
      </c>
      <c r="K1205" s="5">
        <f>ROUND(594347.43,0)</f>
        <v>594347</v>
      </c>
      <c r="L1205" s="7">
        <f>ROUND(0.000206561095719401,4)</f>
        <v>2.0000000000000001E-4</v>
      </c>
    </row>
    <row r="1206" spans="1:12">
      <c r="A1206" s="3" t="s">
        <v>2517</v>
      </c>
      <c r="B1206" s="4" t="s">
        <v>2518</v>
      </c>
      <c r="C1206" s="4" t="s">
        <v>400</v>
      </c>
      <c r="D1206" s="4" t="s">
        <v>407</v>
      </c>
      <c r="E1206" s="4" t="s">
        <v>35</v>
      </c>
      <c r="F1206" s="4" t="s">
        <v>21</v>
      </c>
      <c r="G1206" s="4" t="s">
        <v>408</v>
      </c>
      <c r="H1206" s="5">
        <f>ROUND(1400,0)</f>
        <v>1400</v>
      </c>
      <c r="I1206" s="6">
        <f>ROUND(46.7,2)</f>
        <v>46.7</v>
      </c>
      <c r="J1206" s="6">
        <f>ROUND(9.08595,2)</f>
        <v>9.09</v>
      </c>
      <c r="K1206" s="5">
        <f>ROUND(594039.41,0)</f>
        <v>594039</v>
      </c>
      <c r="L1206" s="7">
        <f>ROUND(0.000206454045624639,4)</f>
        <v>2.0000000000000001E-4</v>
      </c>
    </row>
    <row r="1207" spans="1:12">
      <c r="A1207" s="3" t="s">
        <v>2519</v>
      </c>
      <c r="B1207" s="4" t="s">
        <v>2520</v>
      </c>
      <c r="C1207" s="4" t="s">
        <v>400</v>
      </c>
      <c r="D1207" s="4" t="s">
        <v>486</v>
      </c>
      <c r="E1207" s="4" t="s">
        <v>30</v>
      </c>
      <c r="F1207" s="4" t="s">
        <v>20</v>
      </c>
      <c r="G1207" s="4" t="s">
        <v>408</v>
      </c>
      <c r="H1207" s="5">
        <f>ROUND(25548,0)</f>
        <v>25548</v>
      </c>
      <c r="I1207" s="6">
        <f>ROUND(207.6,2)</f>
        <v>207.6</v>
      </c>
      <c r="J1207" s="6">
        <f>ROUND(11.19645077,2)</f>
        <v>11.2</v>
      </c>
      <c r="K1207" s="5">
        <f>ROUND(593833.44,0)</f>
        <v>593833</v>
      </c>
      <c r="L1207" s="7">
        <f>ROUND(0.000206382462259863,4)</f>
        <v>2.0000000000000001E-4</v>
      </c>
    </row>
    <row r="1208" spans="1:12">
      <c r="A1208" s="3" t="s">
        <v>2521</v>
      </c>
      <c r="B1208" s="4" t="s">
        <v>2522</v>
      </c>
      <c r="C1208" s="4" t="s">
        <v>389</v>
      </c>
      <c r="D1208" s="4" t="s">
        <v>486</v>
      </c>
      <c r="E1208" s="4" t="s">
        <v>30</v>
      </c>
      <c r="F1208" s="4" t="s">
        <v>20</v>
      </c>
      <c r="G1208" s="4" t="s">
        <v>408</v>
      </c>
      <c r="H1208" s="5">
        <f>ROUND(857,0)</f>
        <v>857</v>
      </c>
      <c r="I1208" s="6">
        <f>ROUND(6186,2)</f>
        <v>6186</v>
      </c>
      <c r="J1208" s="6">
        <f>ROUND(11.19645077,2)</f>
        <v>11.2</v>
      </c>
      <c r="K1208" s="5">
        <f>ROUND(593568.87,0)</f>
        <v>593569</v>
      </c>
      <c r="L1208" s="7">
        <f>ROUND(0.00020629051289433,4)</f>
        <v>2.0000000000000001E-4</v>
      </c>
    </row>
    <row r="1209" spans="1:12">
      <c r="A1209" s="3" t="s">
        <v>2523</v>
      </c>
      <c r="B1209" s="4" t="s">
        <v>2524</v>
      </c>
      <c r="C1209" s="4" t="s">
        <v>430</v>
      </c>
      <c r="D1209" s="4" t="s">
        <v>407</v>
      </c>
      <c r="E1209" s="4" t="s">
        <v>35</v>
      </c>
      <c r="F1209" s="4" t="s">
        <v>21</v>
      </c>
      <c r="G1209" s="4" t="s">
        <v>408</v>
      </c>
      <c r="H1209" s="5">
        <f>ROUND(2715,0)</f>
        <v>2715</v>
      </c>
      <c r="I1209" s="6">
        <f>ROUND(24.06,2)</f>
        <v>24.06</v>
      </c>
      <c r="J1209" s="6">
        <f>ROUND(9.08595,2)</f>
        <v>9.09</v>
      </c>
      <c r="K1209" s="5">
        <f>ROUND(593520.6,0)</f>
        <v>593521</v>
      </c>
      <c r="L1209" s="7">
        <f>ROUND(0.000206273737009406,4)</f>
        <v>2.0000000000000001E-4</v>
      </c>
    </row>
    <row r="1210" spans="1:12">
      <c r="A1210" s="3" t="s">
        <v>2525</v>
      </c>
      <c r="B1210" s="4" t="s">
        <v>2526</v>
      </c>
      <c r="C1210" s="4" t="s">
        <v>422</v>
      </c>
      <c r="D1210" s="4" t="s">
        <v>486</v>
      </c>
      <c r="E1210" s="4" t="s">
        <v>30</v>
      </c>
      <c r="F1210" s="4" t="s">
        <v>20</v>
      </c>
      <c r="G1210" s="4" t="s">
        <v>408</v>
      </c>
      <c r="H1210" s="5">
        <f>ROUND(24112,0)</f>
        <v>24112</v>
      </c>
      <c r="I1210" s="6">
        <f>ROUND(219.8,2)</f>
        <v>219.8</v>
      </c>
      <c r="J1210" s="6">
        <f>ROUND(11.19645077,2)</f>
        <v>11.2</v>
      </c>
      <c r="K1210" s="5">
        <f>ROUND(593391.51,0)</f>
        <v>593392</v>
      </c>
      <c r="L1210" s="7">
        <f>ROUND(0.000206228872725487,4)</f>
        <v>2.0000000000000001E-4</v>
      </c>
    </row>
    <row r="1211" spans="1:12">
      <c r="A1211" s="3" t="s">
        <v>2527</v>
      </c>
      <c r="B1211" s="4" t="s">
        <v>2528</v>
      </c>
      <c r="C1211" s="4" t="s">
        <v>445</v>
      </c>
      <c r="D1211" s="4" t="s">
        <v>739</v>
      </c>
      <c r="E1211" s="4" t="s">
        <v>740</v>
      </c>
      <c r="F1211" s="4" t="s">
        <v>741</v>
      </c>
      <c r="G1211" s="4" t="s">
        <v>408</v>
      </c>
      <c r="H1211" s="5">
        <f>ROUND(254,0)</f>
        <v>254</v>
      </c>
      <c r="I1211" s="6">
        <f>ROUND(307500,2)</f>
        <v>307500</v>
      </c>
      <c r="J1211" s="6">
        <f>ROUND(0.00759599,2)</f>
        <v>0.01</v>
      </c>
      <c r="K1211" s="5">
        <f>ROUND(593284.8,0)</f>
        <v>593285</v>
      </c>
      <c r="L1211" s="7">
        <f>ROUND(0.000206191786446634,4)</f>
        <v>2.0000000000000001E-4</v>
      </c>
    </row>
    <row r="1212" spans="1:12">
      <c r="A1212" s="3" t="s">
        <v>2529</v>
      </c>
      <c r="B1212" s="4" t="s">
        <v>2530</v>
      </c>
      <c r="C1212" s="4" t="s">
        <v>389</v>
      </c>
      <c r="D1212" s="4" t="s">
        <v>489</v>
      </c>
      <c r="E1212" s="4" t="s">
        <v>490</v>
      </c>
      <c r="F1212" s="4" t="s">
        <v>45</v>
      </c>
      <c r="G1212" s="4" t="s">
        <v>408</v>
      </c>
      <c r="H1212" s="5">
        <f>ROUND(4200,0)</f>
        <v>4200</v>
      </c>
      <c r="I1212" s="6">
        <f>ROUND(1673,2)</f>
        <v>1673</v>
      </c>
      <c r="J1212" s="6">
        <f>ROUND(8.407077,2)</f>
        <v>8.41</v>
      </c>
      <c r="K1212" s="5">
        <f>ROUND(590731.67,0)</f>
        <v>590732</v>
      </c>
      <c r="L1212" s="7">
        <f>ROUND(0.000205304464816735,4)</f>
        <v>2.0000000000000001E-4</v>
      </c>
    </row>
    <row r="1213" spans="1:12">
      <c r="A1213" s="3" t="s">
        <v>2531</v>
      </c>
      <c r="B1213" s="4" t="s">
        <v>2532</v>
      </c>
      <c r="C1213" s="4" t="s">
        <v>406</v>
      </c>
      <c r="D1213" s="4" t="s">
        <v>407</v>
      </c>
      <c r="E1213" s="4" t="s">
        <v>35</v>
      </c>
      <c r="F1213" s="4" t="s">
        <v>21</v>
      </c>
      <c r="G1213" s="4" t="s">
        <v>408</v>
      </c>
      <c r="H1213" s="5">
        <f>ROUND(2800,0)</f>
        <v>2800</v>
      </c>
      <c r="I1213" s="6">
        <f>ROUND(23.17,2)</f>
        <v>23.17</v>
      </c>
      <c r="J1213" s="6">
        <f>ROUND(9.08595,2)</f>
        <v>9.09</v>
      </c>
      <c r="K1213" s="5">
        <f>ROUND(589460.09,0)</f>
        <v>589460</v>
      </c>
      <c r="L1213" s="7">
        <f>ROUND(0.00020486253650202,4)</f>
        <v>2.0000000000000001E-4</v>
      </c>
    </row>
    <row r="1214" spans="1:12">
      <c r="A1214" s="3" t="s">
        <v>2533</v>
      </c>
      <c r="B1214" s="4" t="s">
        <v>2534</v>
      </c>
      <c r="C1214" s="4" t="s">
        <v>389</v>
      </c>
      <c r="D1214" s="4" t="s">
        <v>395</v>
      </c>
      <c r="E1214" s="4" t="s">
        <v>396</v>
      </c>
      <c r="F1214" s="4" t="s">
        <v>397</v>
      </c>
      <c r="G1214" s="4" t="s">
        <v>408</v>
      </c>
      <c r="H1214" s="5">
        <f>ROUND(7256,0)</f>
        <v>7256</v>
      </c>
      <c r="I1214" s="6">
        <f>ROUND(37.04,2)</f>
        <v>37.04</v>
      </c>
      <c r="J1214" s="6">
        <f>ROUND(2.18129969,2)</f>
        <v>2.1800000000000002</v>
      </c>
      <c r="K1214" s="5">
        <f>ROUND(586250.99,0)</f>
        <v>586251</v>
      </c>
      <c r="L1214" s="7">
        <f>ROUND(0.000203747237303582,4)</f>
        <v>2.0000000000000001E-4</v>
      </c>
    </row>
    <row r="1215" spans="1:12">
      <c r="A1215" s="3" t="s">
        <v>2535</v>
      </c>
      <c r="B1215" s="4" t="s">
        <v>2536</v>
      </c>
      <c r="C1215" s="4" t="s">
        <v>545</v>
      </c>
      <c r="D1215" s="4" t="s">
        <v>655</v>
      </c>
      <c r="E1215" s="4" t="s">
        <v>656</v>
      </c>
      <c r="F1215" s="4" t="s">
        <v>26</v>
      </c>
      <c r="G1215" s="4" t="s">
        <v>408</v>
      </c>
      <c r="H1215" s="5">
        <f>ROUND(176800,0)</f>
        <v>176800</v>
      </c>
      <c r="I1215" s="6">
        <f>ROUND(2.86,2)</f>
        <v>2.86</v>
      </c>
      <c r="J1215" s="6">
        <f>ROUND(1.15901246,2)</f>
        <v>1.1599999999999999</v>
      </c>
      <c r="K1215" s="5">
        <f>ROUND(586052.33,0)</f>
        <v>586052</v>
      </c>
      <c r="L1215" s="7">
        <f>ROUND(0.00020367819447576,4)</f>
        <v>2.0000000000000001E-4</v>
      </c>
    </row>
    <row r="1216" spans="1:12">
      <c r="A1216" s="3" t="s">
        <v>2537</v>
      </c>
      <c r="B1216" s="4" t="s">
        <v>2538</v>
      </c>
      <c r="C1216" s="4" t="s">
        <v>566</v>
      </c>
      <c r="D1216" s="4" t="s">
        <v>456</v>
      </c>
      <c r="E1216" s="4" t="s">
        <v>457</v>
      </c>
      <c r="F1216" s="4" t="s">
        <v>26</v>
      </c>
      <c r="G1216" s="4" t="s">
        <v>408</v>
      </c>
      <c r="H1216" s="5">
        <f>ROUND(16000,0)</f>
        <v>16000</v>
      </c>
      <c r="I1216" s="6">
        <f>ROUND(31.5,2)</f>
        <v>31.5</v>
      </c>
      <c r="J1216" s="6">
        <f>ROUND(1.15901246,2)</f>
        <v>1.1599999999999999</v>
      </c>
      <c r="K1216" s="5">
        <f>ROUND(584142.28,0)</f>
        <v>584142</v>
      </c>
      <c r="L1216" s="7">
        <f>ROUND(0.000203014370589319,4)</f>
        <v>2.0000000000000001E-4</v>
      </c>
    </row>
    <row r="1217" spans="1:12">
      <c r="A1217" s="3" t="s">
        <v>2539</v>
      </c>
      <c r="B1217" s="4" t="s">
        <v>2540</v>
      </c>
      <c r="C1217" s="4" t="s">
        <v>415</v>
      </c>
      <c r="D1217" s="4" t="s">
        <v>514</v>
      </c>
      <c r="E1217" s="4" t="s">
        <v>515</v>
      </c>
      <c r="F1217" s="4" t="s">
        <v>190</v>
      </c>
      <c r="G1217" s="4" t="s">
        <v>408</v>
      </c>
      <c r="H1217" s="5">
        <f>ROUND(1800,0)</f>
        <v>1800</v>
      </c>
      <c r="I1217" s="6">
        <f>ROUND(47.15,2)</f>
        <v>47.15</v>
      </c>
      <c r="J1217" s="6">
        <f>ROUND(6.86237833,2)</f>
        <v>6.86</v>
      </c>
      <c r="K1217" s="5">
        <f>ROUND(582410.05,0)</f>
        <v>582410</v>
      </c>
      <c r="L1217" s="7">
        <f>ROUND(0.000202412346741352,4)</f>
        <v>2.0000000000000001E-4</v>
      </c>
    </row>
    <row r="1218" spans="1:12">
      <c r="A1218" s="3" t="s">
        <v>2541</v>
      </c>
      <c r="B1218" s="4" t="s">
        <v>2542</v>
      </c>
      <c r="C1218" s="4" t="s">
        <v>400</v>
      </c>
      <c r="D1218" s="4" t="s">
        <v>717</v>
      </c>
      <c r="E1218" s="4" t="s">
        <v>718</v>
      </c>
      <c r="F1218" s="4" t="s">
        <v>175</v>
      </c>
      <c r="G1218" s="4" t="s">
        <v>408</v>
      </c>
      <c r="H1218" s="5">
        <f>ROUND(4279,0)</f>
        <v>4279</v>
      </c>
      <c r="I1218" s="6">
        <f>ROUND(22682,2)</f>
        <v>22682</v>
      </c>
      <c r="J1218" s="6">
        <f>ROUND(0.59923836,2)</f>
        <v>0.6</v>
      </c>
      <c r="K1218" s="5">
        <f>ROUND(581598.45,0)</f>
        <v>581598</v>
      </c>
      <c r="L1218" s="7">
        <f>ROUND(0.000202130281106298,4)</f>
        <v>2.0000000000000001E-4</v>
      </c>
    </row>
    <row r="1219" spans="1:12">
      <c r="A1219" s="3" t="s">
        <v>2543</v>
      </c>
      <c r="B1219" s="4" t="s">
        <v>2544</v>
      </c>
      <c r="C1219" s="4" t="s">
        <v>545</v>
      </c>
      <c r="D1219" s="4" t="s">
        <v>407</v>
      </c>
      <c r="E1219" s="4" t="s">
        <v>35</v>
      </c>
      <c r="F1219" s="4" t="s">
        <v>21</v>
      </c>
      <c r="G1219" s="4" t="s">
        <v>408</v>
      </c>
      <c r="H1219" s="5">
        <f>ROUND(1300,0)</f>
        <v>1300</v>
      </c>
      <c r="I1219" s="6">
        <f>ROUND(49.2,2)</f>
        <v>49.2</v>
      </c>
      <c r="J1219" s="6">
        <f>ROUND(9.08595,2)</f>
        <v>9.09</v>
      </c>
      <c r="K1219" s="5">
        <f>ROUND(581137.36,0)</f>
        <v>581137</v>
      </c>
      <c r="L1219" s="7">
        <f>ROUND(0.000201970032654268,4)</f>
        <v>2.0000000000000001E-4</v>
      </c>
    </row>
    <row r="1220" spans="1:12">
      <c r="A1220" s="3" t="s">
        <v>2545</v>
      </c>
      <c r="B1220" s="4" t="s">
        <v>2546</v>
      </c>
      <c r="C1220" s="4" t="s">
        <v>566</v>
      </c>
      <c r="D1220" s="4" t="s">
        <v>486</v>
      </c>
      <c r="E1220" s="4" t="s">
        <v>30</v>
      </c>
      <c r="F1220" s="4" t="s">
        <v>20</v>
      </c>
      <c r="G1220" s="4" t="s">
        <v>408</v>
      </c>
      <c r="H1220" s="5">
        <f>ROUND(6039,0)</f>
        <v>6039</v>
      </c>
      <c r="I1220" s="6">
        <f>ROUND(856.4,2)</f>
        <v>856.4</v>
      </c>
      <c r="J1220" s="6">
        <f>ROUND(11.19645077,2)</f>
        <v>11.2</v>
      </c>
      <c r="K1220" s="5">
        <f>ROUND(579058.04,0)</f>
        <v>579058</v>
      </c>
      <c r="L1220" s="7">
        <f>ROUND(0.000201247380219225,4)</f>
        <v>2.0000000000000001E-4</v>
      </c>
    </row>
    <row r="1221" spans="1:12">
      <c r="A1221" s="3" t="s">
        <v>2547</v>
      </c>
      <c r="B1221" s="4" t="s">
        <v>2548</v>
      </c>
      <c r="C1221" s="4" t="s">
        <v>422</v>
      </c>
      <c r="D1221" s="4" t="s">
        <v>456</v>
      </c>
      <c r="E1221" s="4" t="s">
        <v>457</v>
      </c>
      <c r="F1221" s="4" t="s">
        <v>26</v>
      </c>
      <c r="G1221" s="4" t="s">
        <v>408</v>
      </c>
      <c r="H1221" s="5">
        <f>ROUND(17000,0)</f>
        <v>17000</v>
      </c>
      <c r="I1221" s="6">
        <f>ROUND(29.35,2)</f>
        <v>29.35</v>
      </c>
      <c r="J1221" s="6">
        <f>ROUND(1.15901246,2)</f>
        <v>1.1599999999999999</v>
      </c>
      <c r="K1221" s="5">
        <f>ROUND(578289.27,0)</f>
        <v>578289</v>
      </c>
      <c r="L1221" s="7">
        <f>ROUND(0.000200980199836942,4)</f>
        <v>2.0000000000000001E-4</v>
      </c>
    </row>
    <row r="1222" spans="1:12">
      <c r="A1222" s="3" t="s">
        <v>2549</v>
      </c>
      <c r="B1222" s="4" t="s">
        <v>2550</v>
      </c>
      <c r="C1222" s="4" t="s">
        <v>534</v>
      </c>
      <c r="D1222" s="4" t="s">
        <v>489</v>
      </c>
      <c r="E1222" s="4" t="s">
        <v>490</v>
      </c>
      <c r="F1222" s="4" t="s">
        <v>45</v>
      </c>
      <c r="G1222" s="4" t="s">
        <v>408</v>
      </c>
      <c r="H1222" s="5">
        <f>ROUND(1700,0)</f>
        <v>1700</v>
      </c>
      <c r="I1222" s="6">
        <f>ROUND(4045,2)</f>
        <v>4045</v>
      </c>
      <c r="J1222" s="6">
        <f>ROUND(8.407077,2)</f>
        <v>8.41</v>
      </c>
      <c r="K1222" s="5">
        <f>ROUND(578112.65,0)</f>
        <v>578113</v>
      </c>
      <c r="L1222" s="7">
        <f>ROUND(0.000200918816849678,4)</f>
        <v>2.0000000000000001E-4</v>
      </c>
    </row>
    <row r="1223" spans="1:12">
      <c r="A1223" s="3" t="s">
        <v>2551</v>
      </c>
      <c r="B1223" s="4" t="s">
        <v>2552</v>
      </c>
      <c r="C1223" s="4" t="s">
        <v>389</v>
      </c>
      <c r="D1223" s="4" t="s">
        <v>1217</v>
      </c>
      <c r="E1223" s="4" t="s">
        <v>1218</v>
      </c>
      <c r="F1223" s="4" t="s">
        <v>21</v>
      </c>
      <c r="G1223" s="4" t="s">
        <v>408</v>
      </c>
      <c r="H1223" s="5">
        <f>ROUND(1226,0)</f>
        <v>1226</v>
      </c>
      <c r="I1223" s="6">
        <f>ROUND(51.77,2)</f>
        <v>51.77</v>
      </c>
      <c r="J1223" s="6">
        <f>ROUND(9.08595,2)</f>
        <v>9.09</v>
      </c>
      <c r="K1223" s="5">
        <f>ROUND(576685.43,0)</f>
        <v>576685</v>
      </c>
      <c r="L1223" s="7">
        <f>ROUND(0.000200422796993022,4)</f>
        <v>2.0000000000000001E-4</v>
      </c>
    </row>
    <row r="1224" spans="1:12">
      <c r="A1224" s="3" t="s">
        <v>2553</v>
      </c>
      <c r="B1224" s="4" t="s">
        <v>2554</v>
      </c>
      <c r="C1224" s="4" t="s">
        <v>422</v>
      </c>
      <c r="D1224" s="4" t="s">
        <v>407</v>
      </c>
      <c r="E1224" s="4" t="s">
        <v>35</v>
      </c>
      <c r="F1224" s="4" t="s">
        <v>21</v>
      </c>
      <c r="G1224" s="4" t="s">
        <v>408</v>
      </c>
      <c r="H1224" s="5">
        <f>ROUND(872,0)</f>
        <v>872</v>
      </c>
      <c r="I1224" s="6">
        <f>ROUND(72.72,2)</f>
        <v>72.72</v>
      </c>
      <c r="J1224" s="6">
        <f>ROUND(9.08595,2)</f>
        <v>9.09</v>
      </c>
      <c r="K1224" s="5">
        <f>ROUND(576156.81,0)</f>
        <v>576157</v>
      </c>
      <c r="L1224" s="7">
        <f>ROUND(0.000200239078984147,4)</f>
        <v>2.0000000000000001E-4</v>
      </c>
    </row>
    <row r="1225" spans="1:12">
      <c r="A1225" s="3" t="s">
        <v>2555</v>
      </c>
      <c r="B1225" s="4" t="s">
        <v>2556</v>
      </c>
      <c r="C1225" s="4" t="s">
        <v>389</v>
      </c>
      <c r="D1225" s="4" t="s">
        <v>407</v>
      </c>
      <c r="E1225" s="4" t="s">
        <v>35</v>
      </c>
      <c r="F1225" s="4" t="s">
        <v>21</v>
      </c>
      <c r="G1225" s="4" t="s">
        <v>408</v>
      </c>
      <c r="H1225" s="5">
        <f>ROUND(400,0)</f>
        <v>400</v>
      </c>
      <c r="I1225" s="6">
        <f>ROUND(158.36,2)</f>
        <v>158.36000000000001</v>
      </c>
      <c r="J1225" s="6">
        <f>ROUND(9.08595,2)</f>
        <v>9.09</v>
      </c>
      <c r="K1225" s="5">
        <f>ROUND(575540.42,0)</f>
        <v>575540</v>
      </c>
      <c r="L1225" s="7">
        <f>ROUND(0.000200024857154686,4)</f>
        <v>2.0000000000000001E-4</v>
      </c>
    </row>
    <row r="1226" spans="1:12">
      <c r="A1226" s="3" t="s">
        <v>2557</v>
      </c>
      <c r="B1226" s="4" t="s">
        <v>2558</v>
      </c>
      <c r="C1226" s="4" t="s">
        <v>406</v>
      </c>
      <c r="D1226" s="4" t="s">
        <v>486</v>
      </c>
      <c r="E1226" s="4" t="s">
        <v>30</v>
      </c>
      <c r="F1226" s="4" t="s">
        <v>20</v>
      </c>
      <c r="G1226" s="4" t="s">
        <v>408</v>
      </c>
      <c r="H1226" s="5">
        <f>ROUND(7423,0)</f>
        <v>7423</v>
      </c>
      <c r="I1226" s="6">
        <f>ROUND(691.4,2)</f>
        <v>691.4</v>
      </c>
      <c r="J1226" s="6">
        <f>ROUND(11.19645077,2)</f>
        <v>11.2</v>
      </c>
      <c r="K1226" s="5">
        <f>ROUND(574631.19,0)</f>
        <v>574631</v>
      </c>
      <c r="L1226" s="7">
        <f>ROUND(0.000199708860928268,4)</f>
        <v>2.0000000000000001E-4</v>
      </c>
    </row>
    <row r="1227" spans="1:12">
      <c r="A1227" s="3" t="s">
        <v>2559</v>
      </c>
      <c r="B1227" s="4" t="s">
        <v>2560</v>
      </c>
      <c r="C1227" s="4" t="s">
        <v>415</v>
      </c>
      <c r="D1227" s="4" t="s">
        <v>407</v>
      </c>
      <c r="E1227" s="4" t="s">
        <v>35</v>
      </c>
      <c r="F1227" s="4" t="s">
        <v>21</v>
      </c>
      <c r="G1227" s="4" t="s">
        <v>408</v>
      </c>
      <c r="H1227" s="5">
        <f>ROUND(1500,0)</f>
        <v>1500</v>
      </c>
      <c r="I1227" s="6">
        <f>ROUND(41.96,2)</f>
        <v>41.96</v>
      </c>
      <c r="J1227" s="6">
        <f>ROUND(9.08595,2)</f>
        <v>9.09</v>
      </c>
      <c r="K1227" s="5">
        <f>ROUND(571869.69,0)</f>
        <v>571870</v>
      </c>
      <c r="L1227" s="7">
        <f>ROUND(0.000198749121831173,4)</f>
        <v>2.0000000000000001E-4</v>
      </c>
    </row>
    <row r="1228" spans="1:12">
      <c r="A1228" s="3" t="s">
        <v>2561</v>
      </c>
      <c r="B1228" s="4" t="s">
        <v>2562</v>
      </c>
      <c r="C1228" s="4" t="s">
        <v>445</v>
      </c>
      <c r="D1228" s="4" t="s">
        <v>456</v>
      </c>
      <c r="E1228" s="4" t="s">
        <v>457</v>
      </c>
      <c r="F1228" s="4" t="s">
        <v>26</v>
      </c>
      <c r="G1228" s="4" t="s">
        <v>408</v>
      </c>
      <c r="H1228" s="5">
        <f>ROUND(49500,0)</f>
        <v>49500</v>
      </c>
      <c r="I1228" s="6">
        <f>ROUND(9.96,2)</f>
        <v>9.9600000000000009</v>
      </c>
      <c r="J1228" s="6">
        <f>ROUND(1.15901246,2)</f>
        <v>1.1599999999999999</v>
      </c>
      <c r="K1228" s="5">
        <f>ROUND(571416.32,0)</f>
        <v>571416</v>
      </c>
      <c r="L1228" s="7">
        <f>ROUND(0.000198591556408594,4)</f>
        <v>2.0000000000000001E-4</v>
      </c>
    </row>
    <row r="1229" spans="1:12">
      <c r="A1229" s="3" t="s">
        <v>2563</v>
      </c>
      <c r="B1229" s="4" t="s">
        <v>2564</v>
      </c>
      <c r="C1229" s="4" t="s">
        <v>445</v>
      </c>
      <c r="D1229" s="4" t="s">
        <v>407</v>
      </c>
      <c r="E1229" s="4" t="s">
        <v>35</v>
      </c>
      <c r="F1229" s="4" t="s">
        <v>21</v>
      </c>
      <c r="G1229" s="4" t="s">
        <v>408</v>
      </c>
      <c r="H1229" s="5">
        <f>ROUND(1100,0)</f>
        <v>1100</v>
      </c>
      <c r="I1229" s="6">
        <f>ROUND(57.07,2)</f>
        <v>57.07</v>
      </c>
      <c r="J1229" s="6">
        <f>ROUND(9.08595,2)</f>
        <v>9.09</v>
      </c>
      <c r="K1229" s="5">
        <f>ROUND(570388.68,0)</f>
        <v>570389</v>
      </c>
      <c r="L1229" s="7">
        <f>ROUND(0.000198234407654027,4)</f>
        <v>2.0000000000000001E-4</v>
      </c>
    </row>
    <row r="1230" spans="1:12">
      <c r="A1230" s="3" t="s">
        <v>2565</v>
      </c>
      <c r="B1230" s="4" t="s">
        <v>2566</v>
      </c>
      <c r="C1230" s="4" t="s">
        <v>545</v>
      </c>
      <c r="D1230" s="4" t="s">
        <v>569</v>
      </c>
      <c r="E1230" s="4" t="s">
        <v>570</v>
      </c>
      <c r="F1230" s="4" t="s">
        <v>19</v>
      </c>
      <c r="G1230" s="4" t="s">
        <v>408</v>
      </c>
      <c r="H1230" s="5">
        <f>ROUND(1490,0)</f>
        <v>1490</v>
      </c>
      <c r="I1230" s="6">
        <f>ROUND(288,2)</f>
        <v>288</v>
      </c>
      <c r="J1230" s="6">
        <f>ROUND(1.3267035,2)</f>
        <v>1.33</v>
      </c>
      <c r="K1230" s="5">
        <f>ROUND(569315.01,0)</f>
        <v>569315</v>
      </c>
      <c r="L1230" s="7">
        <f>ROUND(0.000197861261510127,4)</f>
        <v>2.0000000000000001E-4</v>
      </c>
    </row>
    <row r="1231" spans="1:12">
      <c r="A1231" s="3" t="s">
        <v>2567</v>
      </c>
      <c r="B1231" s="4" t="s">
        <v>2568</v>
      </c>
      <c r="C1231" s="4" t="s">
        <v>534</v>
      </c>
      <c r="D1231" s="4" t="s">
        <v>1024</v>
      </c>
      <c r="E1231" s="4" t="s">
        <v>1025</v>
      </c>
      <c r="F1231" s="4" t="s">
        <v>1026</v>
      </c>
      <c r="G1231" s="4" t="s">
        <v>408</v>
      </c>
      <c r="H1231" s="5">
        <f>ROUND(3086,0)</f>
        <v>3086</v>
      </c>
      <c r="I1231" s="6">
        <f>ROUND(199.4,2)</f>
        <v>199.4</v>
      </c>
      <c r="J1231" s="6">
        <f>ROUND(0.92410673,2)</f>
        <v>0.92</v>
      </c>
      <c r="K1231" s="5">
        <f>ROUND(568647.6,0)</f>
        <v>568648</v>
      </c>
      <c r="L1231" s="7">
        <f>ROUND(0.000197629308053385,4)</f>
        <v>2.0000000000000001E-4</v>
      </c>
    </row>
    <row r="1232" spans="1:12">
      <c r="A1232" s="3" t="s">
        <v>2569</v>
      </c>
      <c r="B1232" s="4" t="s">
        <v>2570</v>
      </c>
      <c r="C1232" s="4" t="s">
        <v>534</v>
      </c>
      <c r="D1232" s="4" t="s">
        <v>456</v>
      </c>
      <c r="E1232" s="4" t="s">
        <v>457</v>
      </c>
      <c r="F1232" s="4" t="s">
        <v>21</v>
      </c>
      <c r="G1232" s="4" t="s">
        <v>408</v>
      </c>
      <c r="H1232" s="5">
        <f>ROUND(2931,0)</f>
        <v>2931</v>
      </c>
      <c r="I1232" s="6">
        <f>ROUND(21.33,2)</f>
        <v>21.33</v>
      </c>
      <c r="J1232" s="6">
        <f>ROUND(9.08595,2)</f>
        <v>9.09</v>
      </c>
      <c r="K1232" s="5">
        <f>ROUND(568037.51,0)</f>
        <v>568038</v>
      </c>
      <c r="L1232" s="7">
        <f>ROUND(0.000197417275742776,4)</f>
        <v>2.0000000000000001E-4</v>
      </c>
    </row>
    <row r="1233" spans="1:12">
      <c r="A1233" s="3" t="s">
        <v>2571</v>
      </c>
      <c r="B1233" s="4" t="s">
        <v>2572</v>
      </c>
      <c r="C1233" s="4" t="s">
        <v>534</v>
      </c>
      <c r="D1233" s="4" t="s">
        <v>771</v>
      </c>
      <c r="E1233" s="4" t="s">
        <v>772</v>
      </c>
      <c r="F1233" s="4" t="s">
        <v>18</v>
      </c>
      <c r="G1233" s="4" t="s">
        <v>408</v>
      </c>
      <c r="H1233" s="5">
        <f>ROUND(2584,0)</f>
        <v>2584</v>
      </c>
      <c r="I1233" s="6">
        <f>ROUND(22.19,2)</f>
        <v>22.19</v>
      </c>
      <c r="J1233" s="6">
        <f>ROUND(9.9055,2)</f>
        <v>9.91</v>
      </c>
      <c r="K1233" s="5">
        <f>ROUND(567971.07,0)</f>
        <v>567971</v>
      </c>
      <c r="L1233" s="7">
        <f>ROUND(0.000197394185007447,4)</f>
        <v>2.0000000000000001E-4</v>
      </c>
    </row>
    <row r="1234" spans="1:12">
      <c r="A1234" s="3" t="s">
        <v>2573</v>
      </c>
      <c r="B1234" s="4" t="s">
        <v>2574</v>
      </c>
      <c r="C1234" s="4" t="s">
        <v>545</v>
      </c>
      <c r="D1234" s="4" t="s">
        <v>789</v>
      </c>
      <c r="E1234" s="4" t="s">
        <v>790</v>
      </c>
      <c r="F1234" s="4" t="s">
        <v>791</v>
      </c>
      <c r="G1234" s="4" t="s">
        <v>408</v>
      </c>
      <c r="H1234" s="5">
        <f>ROUND(12272,0)</f>
        <v>12272</v>
      </c>
      <c r="I1234" s="6">
        <f>ROUND(360.5,2)</f>
        <v>360.5</v>
      </c>
      <c r="J1234" s="6">
        <f>ROUND(0.12820804,2)</f>
        <v>0.13</v>
      </c>
      <c r="K1234" s="5">
        <f>ROUND(567199.55,0)</f>
        <v>567200</v>
      </c>
      <c r="L1234" s="7">
        <f>ROUND(0.000197126048882808,4)</f>
        <v>2.0000000000000001E-4</v>
      </c>
    </row>
    <row r="1235" spans="1:12">
      <c r="A1235" s="3" t="s">
        <v>2575</v>
      </c>
      <c r="B1235" s="4" t="s">
        <v>2576</v>
      </c>
      <c r="C1235" s="4" t="s">
        <v>400</v>
      </c>
      <c r="D1235" s="4" t="s">
        <v>456</v>
      </c>
      <c r="E1235" s="4" t="s">
        <v>457</v>
      </c>
      <c r="F1235" s="4" t="s">
        <v>403</v>
      </c>
      <c r="G1235" s="4" t="s">
        <v>408</v>
      </c>
      <c r="H1235" s="5">
        <f>ROUND(15450,0)</f>
        <v>15450</v>
      </c>
      <c r="I1235" s="6">
        <f>ROUND(125,2)</f>
        <v>125</v>
      </c>
      <c r="J1235" s="6">
        <f>ROUND(0.29286371,2)</f>
        <v>0.28999999999999998</v>
      </c>
      <c r="K1235" s="5">
        <f>ROUND(565593.04,0)</f>
        <v>565593</v>
      </c>
      <c r="L1235" s="7">
        <f>ROUND(0.000196567718099946,4)</f>
        <v>2.0000000000000001E-4</v>
      </c>
    </row>
    <row r="1236" spans="1:12">
      <c r="A1236" s="3" t="s">
        <v>2577</v>
      </c>
      <c r="B1236" s="4" t="s">
        <v>2578</v>
      </c>
      <c r="C1236" s="4" t="s">
        <v>566</v>
      </c>
      <c r="D1236" s="4" t="s">
        <v>407</v>
      </c>
      <c r="E1236" s="4" t="s">
        <v>35</v>
      </c>
      <c r="F1236" s="4" t="s">
        <v>21</v>
      </c>
      <c r="G1236" s="4" t="s">
        <v>408</v>
      </c>
      <c r="H1236" s="5">
        <f>ROUND(3600,0)</f>
        <v>3600</v>
      </c>
      <c r="I1236" s="6">
        <f>ROUND(17.29,2)</f>
        <v>17.29</v>
      </c>
      <c r="J1236" s="6">
        <f>ROUND(9.08595,2)</f>
        <v>9.09</v>
      </c>
      <c r="K1236" s="5">
        <f>ROUND(565545.87,0)</f>
        <v>565546</v>
      </c>
      <c r="L1236" s="7">
        <f>ROUND(0.000196551324511965,4)</f>
        <v>2.0000000000000001E-4</v>
      </c>
    </row>
    <row r="1237" spans="1:12">
      <c r="A1237" s="3" t="s">
        <v>2579</v>
      </c>
      <c r="B1237" s="4" t="s">
        <v>2580</v>
      </c>
      <c r="C1237" s="4" t="s">
        <v>400</v>
      </c>
      <c r="D1237" s="4" t="s">
        <v>407</v>
      </c>
      <c r="E1237" s="4" t="s">
        <v>35</v>
      </c>
      <c r="F1237" s="4" t="s">
        <v>21</v>
      </c>
      <c r="G1237" s="4" t="s">
        <v>408</v>
      </c>
      <c r="H1237" s="5">
        <f>ROUND(624,0)</f>
        <v>624</v>
      </c>
      <c r="I1237" s="6">
        <f>ROUND(99.35,2)</f>
        <v>99.35</v>
      </c>
      <c r="J1237" s="6">
        <f>ROUND(9.08595,2)</f>
        <v>9.09</v>
      </c>
      <c r="K1237" s="5">
        <f>ROUND(563278.02,0)</f>
        <v>563278</v>
      </c>
      <c r="L1237" s="7">
        <f>ROUND(0.000195763149856398,4)</f>
        <v>2.0000000000000001E-4</v>
      </c>
    </row>
    <row r="1238" spans="1:12">
      <c r="A1238" s="3" t="s">
        <v>2581</v>
      </c>
      <c r="B1238" s="4" t="s">
        <v>2582</v>
      </c>
      <c r="C1238" s="4" t="s">
        <v>566</v>
      </c>
      <c r="D1238" s="4" t="s">
        <v>552</v>
      </c>
      <c r="E1238" s="4" t="s">
        <v>553</v>
      </c>
      <c r="F1238" s="4" t="s">
        <v>26</v>
      </c>
      <c r="G1238" s="4" t="s">
        <v>408</v>
      </c>
      <c r="H1238" s="5">
        <f>ROUND(13310,0)</f>
        <v>13310</v>
      </c>
      <c r="I1238" s="6">
        <f>ROUND(36.5,2)</f>
        <v>36.5</v>
      </c>
      <c r="J1238" s="6">
        <f>ROUND(1.15901246,2)</f>
        <v>1.1599999999999999</v>
      </c>
      <c r="K1238" s="5">
        <f>ROUND(563065.64,0)</f>
        <v>563066</v>
      </c>
      <c r="L1238" s="7">
        <f>ROUND(0.000195689338743075,4)</f>
        <v>2.0000000000000001E-4</v>
      </c>
    </row>
    <row r="1239" spans="1:12">
      <c r="A1239" s="3" t="s">
        <v>2583</v>
      </c>
      <c r="B1239" s="4" t="s">
        <v>2584</v>
      </c>
      <c r="C1239" s="4" t="s">
        <v>545</v>
      </c>
      <c r="D1239" s="4" t="s">
        <v>407</v>
      </c>
      <c r="E1239" s="4" t="s">
        <v>35</v>
      </c>
      <c r="F1239" s="4" t="s">
        <v>21</v>
      </c>
      <c r="G1239" s="4" t="s">
        <v>408</v>
      </c>
      <c r="H1239" s="5">
        <f>ROUND(1700,0)</f>
        <v>1700</v>
      </c>
      <c r="I1239" s="6">
        <f>ROUND(36.45,2)</f>
        <v>36.450000000000003</v>
      </c>
      <c r="J1239" s="6">
        <f>ROUND(9.08595,2)</f>
        <v>9.09</v>
      </c>
      <c r="K1239" s="5">
        <f>ROUND(563010.89,0)</f>
        <v>563011</v>
      </c>
      <c r="L1239" s="7">
        <f>ROUND(0.000195670310781617,4)</f>
        <v>2.0000000000000001E-4</v>
      </c>
    </row>
    <row r="1240" spans="1:12">
      <c r="A1240" s="3" t="s">
        <v>2585</v>
      </c>
      <c r="B1240" s="4" t="s">
        <v>2586</v>
      </c>
      <c r="C1240" s="4" t="s">
        <v>534</v>
      </c>
      <c r="D1240" s="4" t="s">
        <v>407</v>
      </c>
      <c r="E1240" s="4" t="s">
        <v>35</v>
      </c>
      <c r="F1240" s="4" t="s">
        <v>21</v>
      </c>
      <c r="G1240" s="4" t="s">
        <v>408</v>
      </c>
      <c r="H1240" s="5">
        <f>ROUND(832,0)</f>
        <v>832</v>
      </c>
      <c r="I1240" s="6">
        <f>ROUND(74.29,2)</f>
        <v>74.290000000000006</v>
      </c>
      <c r="J1240" s="6">
        <f>ROUND(9.08595,2)</f>
        <v>9.09</v>
      </c>
      <c r="K1240" s="5">
        <f>ROUND(561596.03,0)</f>
        <v>561596</v>
      </c>
      <c r="L1240" s="7">
        <f>ROUND(0.000195178586552424,4)</f>
        <v>2.0000000000000001E-4</v>
      </c>
    </row>
    <row r="1241" spans="1:12">
      <c r="A1241" s="3" t="s">
        <v>2587</v>
      </c>
      <c r="B1241" s="4" t="s">
        <v>2588</v>
      </c>
      <c r="C1241" s="4" t="s">
        <v>445</v>
      </c>
      <c r="D1241" s="4" t="s">
        <v>577</v>
      </c>
      <c r="E1241" s="4" t="s">
        <v>578</v>
      </c>
      <c r="F1241" s="4" t="s">
        <v>21</v>
      </c>
      <c r="G1241" s="4" t="s">
        <v>408</v>
      </c>
      <c r="H1241" s="5">
        <f>ROUND(3120,0)</f>
        <v>3120</v>
      </c>
      <c r="I1241" s="6">
        <f>ROUND(19.78,2)</f>
        <v>19.78</v>
      </c>
      <c r="J1241" s="6">
        <f>ROUND(9.08595,2)</f>
        <v>9.09</v>
      </c>
      <c r="K1241" s="5">
        <f>ROUND(560726.68,0)</f>
        <v>560727</v>
      </c>
      <c r="L1241" s="7">
        <f>ROUND(0.000194876450327887,4)</f>
        <v>2.0000000000000001E-4</v>
      </c>
    </row>
    <row r="1242" spans="1:12">
      <c r="A1242" s="3" t="s">
        <v>2589</v>
      </c>
      <c r="B1242" s="4" t="s">
        <v>2590</v>
      </c>
      <c r="C1242" s="4" t="s">
        <v>400</v>
      </c>
      <c r="D1242" s="4" t="s">
        <v>2447</v>
      </c>
      <c r="E1242" s="4" t="s">
        <v>2448</v>
      </c>
      <c r="F1242" s="4" t="s">
        <v>250</v>
      </c>
      <c r="G1242" s="4" t="s">
        <v>408</v>
      </c>
      <c r="H1242" s="5">
        <f>ROUND(6288,0)</f>
        <v>6288</v>
      </c>
      <c r="I1242" s="6">
        <f>ROUND(39.32,2)</f>
        <v>39.32</v>
      </c>
      <c r="J1242" s="6">
        <f>ROUND(2.26631585,2)</f>
        <v>2.27</v>
      </c>
      <c r="K1242" s="5">
        <f>ROUND(560333.36,0)</f>
        <v>560333</v>
      </c>
      <c r="L1242" s="7">
        <f>ROUND(0.000194739754842944,4)</f>
        <v>2.0000000000000001E-4</v>
      </c>
    </row>
    <row r="1243" spans="1:12">
      <c r="A1243" s="3" t="s">
        <v>2591</v>
      </c>
      <c r="B1243" s="4" t="s">
        <v>2592</v>
      </c>
      <c r="C1243" s="4" t="s">
        <v>445</v>
      </c>
      <c r="D1243" s="4" t="s">
        <v>496</v>
      </c>
      <c r="E1243" s="4" t="s">
        <v>497</v>
      </c>
      <c r="F1243" s="4" t="s">
        <v>21</v>
      </c>
      <c r="G1243" s="4" t="s">
        <v>408</v>
      </c>
      <c r="H1243" s="5">
        <f>ROUND(479,0)</f>
        <v>479</v>
      </c>
      <c r="I1243" s="6">
        <f>ROUND(128.14,2)</f>
        <v>128.13999999999999</v>
      </c>
      <c r="J1243" s="6">
        <f>ROUND(9.08595,2)</f>
        <v>9.09</v>
      </c>
      <c r="K1243" s="5">
        <f>ROUND(557687.07,0)</f>
        <v>557687</v>
      </c>
      <c r="L1243" s="7">
        <f>ROUND(0.000193820056137439,4)</f>
        <v>2.0000000000000001E-4</v>
      </c>
    </row>
    <row r="1244" spans="1:12">
      <c r="A1244" s="3" t="s">
        <v>2593</v>
      </c>
      <c r="B1244" s="4" t="s">
        <v>2594</v>
      </c>
      <c r="C1244" s="4" t="s">
        <v>493</v>
      </c>
      <c r="D1244" s="4" t="s">
        <v>514</v>
      </c>
      <c r="E1244" s="4" t="s">
        <v>515</v>
      </c>
      <c r="F1244" s="4" t="s">
        <v>190</v>
      </c>
      <c r="G1244" s="4" t="s">
        <v>408</v>
      </c>
      <c r="H1244" s="5">
        <f>ROUND(1671,0)</f>
        <v>1671</v>
      </c>
      <c r="I1244" s="6">
        <f>ROUND(48.48,2)</f>
        <v>48.48</v>
      </c>
      <c r="J1244" s="6">
        <f>ROUND(6.86237833,2)</f>
        <v>6.86</v>
      </c>
      <c r="K1244" s="5">
        <f>ROUND(555921.82,0)</f>
        <v>555922</v>
      </c>
      <c r="L1244" s="7">
        <f>ROUND(0.000193206556430342,4)</f>
        <v>2.0000000000000001E-4</v>
      </c>
    </row>
    <row r="1245" spans="1:12">
      <c r="A1245" s="3" t="s">
        <v>2595</v>
      </c>
      <c r="B1245" s="4" t="s">
        <v>2596</v>
      </c>
      <c r="C1245" s="4" t="s">
        <v>415</v>
      </c>
      <c r="D1245" s="4" t="s">
        <v>717</v>
      </c>
      <c r="E1245" s="4" t="s">
        <v>718</v>
      </c>
      <c r="F1245" s="4" t="s">
        <v>175</v>
      </c>
      <c r="G1245" s="4" t="s">
        <v>408</v>
      </c>
      <c r="H1245" s="5">
        <f>ROUND(9612,0)</f>
        <v>9612</v>
      </c>
      <c r="I1245" s="6">
        <f>ROUND(9630,2)</f>
        <v>9630</v>
      </c>
      <c r="J1245" s="6">
        <f>ROUND(0.59923836,2)</f>
        <v>0.6</v>
      </c>
      <c r="K1245" s="5">
        <f>ROUND(554676.36,0)</f>
        <v>554676</v>
      </c>
      <c r="L1245" s="7">
        <f>ROUND(0.000192773705930299,4)</f>
        <v>2.0000000000000001E-4</v>
      </c>
    </row>
    <row r="1246" spans="1:12">
      <c r="A1246" s="3" t="s">
        <v>2597</v>
      </c>
      <c r="B1246" s="4" t="s">
        <v>2598</v>
      </c>
      <c r="C1246" s="4" t="s">
        <v>493</v>
      </c>
      <c r="D1246" s="4" t="s">
        <v>514</v>
      </c>
      <c r="E1246" s="4" t="s">
        <v>515</v>
      </c>
      <c r="F1246" s="4" t="s">
        <v>190</v>
      </c>
      <c r="G1246" s="4" t="s">
        <v>408</v>
      </c>
      <c r="H1246" s="5">
        <f>ROUND(3300,0)</f>
        <v>3300</v>
      </c>
      <c r="I1246" s="6">
        <f>ROUND(24.49,2)</f>
        <v>24.49</v>
      </c>
      <c r="J1246" s="6">
        <f>ROUND(6.86237833,2)</f>
        <v>6.86</v>
      </c>
      <c r="K1246" s="5">
        <f>ROUND(554596.83,0)</f>
        <v>554597</v>
      </c>
      <c r="L1246" s="7">
        <f>ROUND(0.000192746065861354,4)</f>
        <v>2.0000000000000001E-4</v>
      </c>
    </row>
    <row r="1247" spans="1:12">
      <c r="A1247" s="3" t="s">
        <v>2599</v>
      </c>
      <c r="B1247" s="4" t="s">
        <v>2600</v>
      </c>
      <c r="C1247" s="4" t="s">
        <v>400</v>
      </c>
      <c r="D1247" s="4" t="s">
        <v>407</v>
      </c>
      <c r="E1247" s="4" t="s">
        <v>35</v>
      </c>
      <c r="F1247" s="4" t="s">
        <v>21</v>
      </c>
      <c r="G1247" s="4" t="s">
        <v>408</v>
      </c>
      <c r="H1247" s="5">
        <f>ROUND(530,0)</f>
        <v>530</v>
      </c>
      <c r="I1247" s="6">
        <f>ROUND(114.91,2)</f>
        <v>114.91</v>
      </c>
      <c r="J1247" s="6">
        <f>ROUND(9.08595,2)</f>
        <v>9.09</v>
      </c>
      <c r="K1247" s="5">
        <f>ROUND(553355.25,0)</f>
        <v>553355</v>
      </c>
      <c r="L1247" s="7">
        <f>ROUND(0.00019231456382689,4)</f>
        <v>2.0000000000000001E-4</v>
      </c>
    </row>
    <row r="1248" spans="1:12">
      <c r="A1248" s="3" t="s">
        <v>2601</v>
      </c>
      <c r="B1248" s="4" t="s">
        <v>2602</v>
      </c>
      <c r="C1248" s="4" t="s">
        <v>389</v>
      </c>
      <c r="D1248" s="4" t="s">
        <v>407</v>
      </c>
      <c r="E1248" s="4" t="s">
        <v>35</v>
      </c>
      <c r="F1248" s="4" t="s">
        <v>21</v>
      </c>
      <c r="G1248" s="4" t="s">
        <v>408</v>
      </c>
      <c r="H1248" s="5">
        <f>ROUND(656,0)</f>
        <v>656</v>
      </c>
      <c r="I1248" s="6">
        <f>ROUND(92.63,2)</f>
        <v>92.63</v>
      </c>
      <c r="J1248" s="6">
        <f>ROUND(9.08595,2)</f>
        <v>9.09</v>
      </c>
      <c r="K1248" s="5">
        <f>ROUND(552110.3,0)</f>
        <v>552110</v>
      </c>
      <c r="L1248" s="7">
        <f>ROUND(0.000191881890573612,4)</f>
        <v>2.0000000000000001E-4</v>
      </c>
    </row>
    <row r="1249" spans="1:12">
      <c r="A1249" s="3" t="s">
        <v>2603</v>
      </c>
      <c r="B1249" s="4" t="s">
        <v>2604</v>
      </c>
      <c r="C1249" s="4" t="s">
        <v>415</v>
      </c>
      <c r="D1249" s="4" t="s">
        <v>401</v>
      </c>
      <c r="E1249" s="4" t="s">
        <v>402</v>
      </c>
      <c r="F1249" s="4" t="s">
        <v>403</v>
      </c>
      <c r="G1249" s="4" t="s">
        <v>408</v>
      </c>
      <c r="H1249" s="5">
        <f>ROUND(26000,0)</f>
        <v>26000</v>
      </c>
      <c r="I1249" s="6">
        <f>ROUND(72.5,2)</f>
        <v>72.5</v>
      </c>
      <c r="J1249" s="6">
        <f>ROUND(0.29286371,2)</f>
        <v>0.28999999999999998</v>
      </c>
      <c r="K1249" s="5">
        <f>ROUND(552048.09,0)</f>
        <v>552048</v>
      </c>
      <c r="L1249" s="7">
        <f>ROUND(0.000191860269943798,4)</f>
        <v>2.0000000000000001E-4</v>
      </c>
    </row>
    <row r="1250" spans="1:12">
      <c r="A1250" s="3" t="s">
        <v>2605</v>
      </c>
      <c r="B1250" s="4" t="s">
        <v>2606</v>
      </c>
      <c r="C1250" s="4" t="s">
        <v>406</v>
      </c>
      <c r="D1250" s="4" t="s">
        <v>407</v>
      </c>
      <c r="E1250" s="4" t="s">
        <v>35</v>
      </c>
      <c r="F1250" s="4" t="s">
        <v>21</v>
      </c>
      <c r="G1250" s="4" t="s">
        <v>408</v>
      </c>
      <c r="H1250" s="5">
        <f>ROUND(448,0)</f>
        <v>448</v>
      </c>
      <c r="I1250" s="6">
        <f>ROUND(135.6,2)</f>
        <v>135.6</v>
      </c>
      <c r="J1250" s="6">
        <f>ROUND(9.08595,2)</f>
        <v>9.09</v>
      </c>
      <c r="K1250" s="5">
        <f>ROUND(551960.56,0)</f>
        <v>551961</v>
      </c>
      <c r="L1250" s="7">
        <f>ROUND(0.000191829849533453,4)</f>
        <v>2.0000000000000001E-4</v>
      </c>
    </row>
    <row r="1251" spans="1:12">
      <c r="A1251" s="3" t="s">
        <v>2607</v>
      </c>
      <c r="B1251" s="4" t="s">
        <v>2608</v>
      </c>
      <c r="C1251" s="4" t="s">
        <v>415</v>
      </c>
      <c r="D1251" s="4" t="s">
        <v>1228</v>
      </c>
      <c r="E1251" s="4" t="s">
        <v>1229</v>
      </c>
      <c r="F1251" s="4" t="s">
        <v>1026</v>
      </c>
      <c r="G1251" s="4" t="s">
        <v>408</v>
      </c>
      <c r="H1251" s="5">
        <f>ROUND(1249,0)</f>
        <v>1249</v>
      </c>
      <c r="I1251" s="6">
        <f>ROUND(477.6,2)</f>
        <v>477.6</v>
      </c>
      <c r="J1251" s="6">
        <f>ROUND(0.92410673,2)</f>
        <v>0.92</v>
      </c>
      <c r="K1251" s="5">
        <f>ROUND(551250.36,0)</f>
        <v>551250</v>
      </c>
      <c r="L1251" s="7">
        <f>ROUND(0.000191583024725647,4)</f>
        <v>2.0000000000000001E-4</v>
      </c>
    </row>
    <row r="1252" spans="1:12">
      <c r="A1252" s="3" t="s">
        <v>2609</v>
      </c>
      <c r="B1252" s="4" t="s">
        <v>2610</v>
      </c>
      <c r="C1252" s="4" t="s">
        <v>493</v>
      </c>
      <c r="D1252" s="4" t="s">
        <v>489</v>
      </c>
      <c r="E1252" s="4" t="s">
        <v>490</v>
      </c>
      <c r="F1252" s="4" t="s">
        <v>45</v>
      </c>
      <c r="G1252" s="4" t="s">
        <v>408</v>
      </c>
      <c r="H1252" s="5">
        <f>ROUND(5400,0)</f>
        <v>5400</v>
      </c>
      <c r="I1252" s="6">
        <f>ROUND(1208.5,2)</f>
        <v>1208.5</v>
      </c>
      <c r="J1252" s="6">
        <f>ROUND(8.407077,2)</f>
        <v>8.41</v>
      </c>
      <c r="K1252" s="5">
        <f>ROUND(548637.44,0)</f>
        <v>548637</v>
      </c>
      <c r="L1252" s="7">
        <f>ROUND(0.000190674923519207,4)</f>
        <v>2.0000000000000001E-4</v>
      </c>
    </row>
    <row r="1253" spans="1:12">
      <c r="A1253" s="3" t="s">
        <v>2611</v>
      </c>
      <c r="B1253" s="4" t="s">
        <v>2612</v>
      </c>
      <c r="C1253" s="4" t="s">
        <v>389</v>
      </c>
      <c r="D1253" s="4" t="s">
        <v>1724</v>
      </c>
      <c r="E1253" s="4" t="s">
        <v>1725</v>
      </c>
      <c r="F1253" s="4" t="s">
        <v>1726</v>
      </c>
      <c r="G1253" s="4" t="s">
        <v>408</v>
      </c>
      <c r="H1253" s="5">
        <f>ROUND(83300,0)</f>
        <v>83300</v>
      </c>
      <c r="I1253" s="6">
        <f>ROUND(3.03,2)</f>
        <v>3.03</v>
      </c>
      <c r="J1253" s="6">
        <f>ROUND(2.17002213,2)</f>
        <v>2.17</v>
      </c>
      <c r="K1253" s="5">
        <f>ROUND(547711.42,0)</f>
        <v>547711</v>
      </c>
      <c r="L1253" s="7">
        <f>ROUND(0.000190353092051276,4)</f>
        <v>2.0000000000000001E-4</v>
      </c>
    </row>
    <row r="1254" spans="1:12">
      <c r="A1254" s="3" t="s">
        <v>2613</v>
      </c>
      <c r="B1254" s="4" t="s">
        <v>2614</v>
      </c>
      <c r="C1254" s="4" t="s">
        <v>400</v>
      </c>
      <c r="D1254" s="4" t="s">
        <v>655</v>
      </c>
      <c r="E1254" s="4" t="s">
        <v>656</v>
      </c>
      <c r="F1254" s="4" t="s">
        <v>26</v>
      </c>
      <c r="G1254" s="4" t="s">
        <v>408</v>
      </c>
      <c r="H1254" s="5">
        <f>ROUND(16400,0)</f>
        <v>16400</v>
      </c>
      <c r="I1254" s="6">
        <f>ROUND(28.8,2)</f>
        <v>28.8</v>
      </c>
      <c r="J1254" s="6">
        <f>ROUND(1.15901246,2)</f>
        <v>1.1599999999999999</v>
      </c>
      <c r="K1254" s="5">
        <f>ROUND(547424.77,0)</f>
        <v>547425</v>
      </c>
      <c r="L1254" s="7">
        <f>ROUND(0.000190253468943479,4)</f>
        <v>2.0000000000000001E-4</v>
      </c>
    </row>
    <row r="1255" spans="1:12">
      <c r="A1255" s="3" t="s">
        <v>2615</v>
      </c>
      <c r="B1255" s="4" t="s">
        <v>2616</v>
      </c>
      <c r="C1255" s="4" t="s">
        <v>406</v>
      </c>
      <c r="D1255" s="4" t="s">
        <v>489</v>
      </c>
      <c r="E1255" s="4" t="s">
        <v>490</v>
      </c>
      <c r="F1255" s="4" t="s">
        <v>45</v>
      </c>
      <c r="G1255" s="4" t="s">
        <v>408</v>
      </c>
      <c r="H1255" s="5">
        <f>ROUND(1100,0)</f>
        <v>1100</v>
      </c>
      <c r="I1255" s="6">
        <f>ROUND(5910,2)</f>
        <v>5910</v>
      </c>
      <c r="J1255" s="6">
        <f>ROUND(8.407077,2)</f>
        <v>8.41</v>
      </c>
      <c r="K1255" s="5">
        <f>ROUND(546544.08,0)</f>
        <v>546544</v>
      </c>
      <c r="L1255" s="7">
        <f>ROUND(0.000189947391585006,4)</f>
        <v>2.0000000000000001E-4</v>
      </c>
    </row>
    <row r="1256" spans="1:12">
      <c r="A1256" s="3" t="s">
        <v>2617</v>
      </c>
      <c r="B1256" s="4" t="s">
        <v>2618</v>
      </c>
      <c r="C1256" s="4" t="s">
        <v>566</v>
      </c>
      <c r="D1256" s="4" t="s">
        <v>1217</v>
      </c>
      <c r="E1256" s="4" t="s">
        <v>1218</v>
      </c>
      <c r="F1256" s="4" t="s">
        <v>21</v>
      </c>
      <c r="G1256" s="4" t="s">
        <v>408</v>
      </c>
      <c r="H1256" s="5">
        <f>ROUND(10700,0)</f>
        <v>10700</v>
      </c>
      <c r="I1256" s="6">
        <f>ROUND(5.62,2)</f>
        <v>5.62</v>
      </c>
      <c r="J1256" s="6">
        <f>ROUND(9.08595,2)</f>
        <v>9.09</v>
      </c>
      <c r="K1256" s="5">
        <f>ROUND(546374.52,0)</f>
        <v>546375</v>
      </c>
      <c r="L1256" s="7">
        <f>ROUND(0.000189888462249028,4)</f>
        <v>2.0000000000000001E-4</v>
      </c>
    </row>
    <row r="1257" spans="1:12">
      <c r="A1257" s="3" t="s">
        <v>2619</v>
      </c>
      <c r="B1257" s="4" t="s">
        <v>2620</v>
      </c>
      <c r="C1257" s="4" t="s">
        <v>389</v>
      </c>
      <c r="D1257" s="4" t="s">
        <v>489</v>
      </c>
      <c r="E1257" s="4" t="s">
        <v>490</v>
      </c>
      <c r="F1257" s="4" t="s">
        <v>45</v>
      </c>
      <c r="G1257" s="4" t="s">
        <v>408</v>
      </c>
      <c r="H1257" s="5">
        <f>ROUND(6100,0)</f>
        <v>6100</v>
      </c>
      <c r="I1257" s="6">
        <f>ROUND(1065,2)</f>
        <v>1065</v>
      </c>
      <c r="J1257" s="6">
        <f>ROUND(8.407077,2)</f>
        <v>8.41</v>
      </c>
      <c r="K1257" s="5">
        <f>ROUND(546165.76,0)</f>
        <v>546166</v>
      </c>
      <c r="L1257" s="7">
        <f>ROUND(0.000189815909240189,4)</f>
        <v>2.0000000000000001E-4</v>
      </c>
    </row>
    <row r="1258" spans="1:12">
      <c r="A1258" s="3" t="s">
        <v>2621</v>
      </c>
      <c r="B1258" s="4" t="s">
        <v>2622</v>
      </c>
      <c r="C1258" s="4" t="s">
        <v>422</v>
      </c>
      <c r="D1258" s="4" t="s">
        <v>486</v>
      </c>
      <c r="E1258" s="4" t="s">
        <v>30</v>
      </c>
      <c r="F1258" s="4" t="s">
        <v>20</v>
      </c>
      <c r="G1258" s="4" t="s">
        <v>408</v>
      </c>
      <c r="H1258" s="5">
        <f>ROUND(24334,0)</f>
        <v>24334</v>
      </c>
      <c r="I1258" s="6">
        <f>ROUND(200.3,2)</f>
        <v>200.3</v>
      </c>
      <c r="J1258" s="6">
        <f>ROUND(11.19645077,2)</f>
        <v>11.2</v>
      </c>
      <c r="K1258" s="5">
        <f>ROUND(545726.21,0)</f>
        <v>545726</v>
      </c>
      <c r="L1258" s="7">
        <f>ROUND(0.00018966314685738,4)</f>
        <v>2.0000000000000001E-4</v>
      </c>
    </row>
    <row r="1259" spans="1:12">
      <c r="A1259" s="3" t="s">
        <v>2623</v>
      </c>
      <c r="B1259" s="4" t="s">
        <v>2624</v>
      </c>
      <c r="C1259" s="4" t="s">
        <v>430</v>
      </c>
      <c r="D1259" s="4" t="s">
        <v>395</v>
      </c>
      <c r="E1259" s="4" t="s">
        <v>396</v>
      </c>
      <c r="F1259" s="4" t="s">
        <v>397</v>
      </c>
      <c r="G1259" s="4" t="s">
        <v>408</v>
      </c>
      <c r="H1259" s="5">
        <f>ROUND(13527,0)</f>
        <v>13527</v>
      </c>
      <c r="I1259" s="6">
        <f>ROUND(18.49,2)</f>
        <v>18.489999999999998</v>
      </c>
      <c r="J1259" s="6">
        <f>ROUND(2.18129969,2)</f>
        <v>2.1800000000000002</v>
      </c>
      <c r="K1259" s="5">
        <f>ROUND(545574.09,0)</f>
        <v>545574</v>
      </c>
      <c r="L1259" s="7">
        <f>ROUND(0.000189610278665654,4)</f>
        <v>2.0000000000000001E-4</v>
      </c>
    </row>
    <row r="1260" spans="1:12">
      <c r="A1260" s="3" t="s">
        <v>2625</v>
      </c>
      <c r="B1260" s="4" t="s">
        <v>2626</v>
      </c>
      <c r="C1260" s="4" t="s">
        <v>400</v>
      </c>
      <c r="D1260" s="4" t="s">
        <v>486</v>
      </c>
      <c r="E1260" s="4" t="s">
        <v>30</v>
      </c>
      <c r="F1260" s="4" t="s">
        <v>20</v>
      </c>
      <c r="G1260" s="4" t="s">
        <v>408</v>
      </c>
      <c r="H1260" s="5">
        <f>ROUND(1580,0)</f>
        <v>1580</v>
      </c>
      <c r="I1260" s="6">
        <f>ROUND(3075,2)</f>
        <v>3075</v>
      </c>
      <c r="J1260" s="6">
        <f>ROUND(11.19645077,2)</f>
        <v>11.2</v>
      </c>
      <c r="K1260" s="5">
        <f>ROUND(543979.56,0)</f>
        <v>543980</v>
      </c>
      <c r="L1260" s="7">
        <f>ROUND(0.000189056111444038,4)</f>
        <v>2.0000000000000001E-4</v>
      </c>
    </row>
    <row r="1261" spans="1:12">
      <c r="A1261" s="3" t="s">
        <v>2627</v>
      </c>
      <c r="B1261" s="4" t="s">
        <v>2628</v>
      </c>
      <c r="C1261" s="4" t="s">
        <v>534</v>
      </c>
      <c r="D1261" s="4" t="s">
        <v>541</v>
      </c>
      <c r="E1261" s="4" t="s">
        <v>542</v>
      </c>
      <c r="F1261" s="4" t="s">
        <v>18</v>
      </c>
      <c r="G1261" s="4" t="s">
        <v>408</v>
      </c>
      <c r="H1261" s="5">
        <f>ROUND(1236,0)</f>
        <v>1236</v>
      </c>
      <c r="I1261" s="6">
        <f>ROUND(44.4,2)</f>
        <v>44.4</v>
      </c>
      <c r="J1261" s="6">
        <f>ROUND(9.9055,2)</f>
        <v>9.91</v>
      </c>
      <c r="K1261" s="5">
        <f>ROUND(543597.99,0)</f>
        <v>543598</v>
      </c>
      <c r="L1261" s="7">
        <f>ROUND(0.000188923499585527,4)</f>
        <v>2.0000000000000001E-4</v>
      </c>
    </row>
    <row r="1262" spans="1:12">
      <c r="A1262" s="3" t="s">
        <v>2629</v>
      </c>
      <c r="B1262" s="4" t="s">
        <v>2630</v>
      </c>
      <c r="C1262" s="4" t="s">
        <v>422</v>
      </c>
      <c r="D1262" s="4" t="s">
        <v>739</v>
      </c>
      <c r="E1262" s="4" t="s">
        <v>740</v>
      </c>
      <c r="F1262" s="4" t="s">
        <v>741</v>
      </c>
      <c r="G1262" s="4" t="s">
        <v>408</v>
      </c>
      <c r="H1262" s="5">
        <f>ROUND(509,0)</f>
        <v>509</v>
      </c>
      <c r="I1262" s="6">
        <f>ROUND(140500,2)</f>
        <v>140500</v>
      </c>
      <c r="J1262" s="6">
        <f>ROUND(0.00759599,2)</f>
        <v>0.01</v>
      </c>
      <c r="K1262" s="5">
        <f>ROUND(543223.43,0)</f>
        <v>543223</v>
      </c>
      <c r="L1262" s="7">
        <f>ROUND(0.000188793324001168,4)</f>
        <v>2.0000000000000001E-4</v>
      </c>
    </row>
    <row r="1263" spans="1:12">
      <c r="A1263" s="3" t="s">
        <v>2631</v>
      </c>
      <c r="B1263" s="4" t="s">
        <v>2632</v>
      </c>
      <c r="C1263" s="4" t="s">
        <v>400</v>
      </c>
      <c r="D1263" s="4" t="s">
        <v>407</v>
      </c>
      <c r="E1263" s="4" t="s">
        <v>35</v>
      </c>
      <c r="F1263" s="4" t="s">
        <v>21</v>
      </c>
      <c r="G1263" s="4" t="s">
        <v>408</v>
      </c>
      <c r="H1263" s="5">
        <f>ROUND(473,0)</f>
        <v>473</v>
      </c>
      <c r="I1263" s="6">
        <f>ROUND(125.82,2)</f>
        <v>125.82</v>
      </c>
      <c r="J1263" s="6">
        <f>ROUND(9.08595,2)</f>
        <v>9.09</v>
      </c>
      <c r="K1263" s="5">
        <f>ROUND(540730.87,0)</f>
        <v>540731</v>
      </c>
      <c r="L1263" s="7">
        <f>ROUND(0.000187927053031095,4)</f>
        <v>2.0000000000000001E-4</v>
      </c>
    </row>
    <row r="1264" spans="1:12">
      <c r="A1264" s="3" t="s">
        <v>2633</v>
      </c>
      <c r="B1264" s="4" t="s">
        <v>2634</v>
      </c>
      <c r="C1264" s="4" t="s">
        <v>534</v>
      </c>
      <c r="D1264" s="4" t="s">
        <v>489</v>
      </c>
      <c r="E1264" s="4" t="s">
        <v>490</v>
      </c>
      <c r="F1264" s="4" t="s">
        <v>45</v>
      </c>
      <c r="G1264" s="4" t="s">
        <v>408</v>
      </c>
      <c r="H1264" s="5">
        <f>ROUND(2000,0)</f>
        <v>2000</v>
      </c>
      <c r="I1264" s="6">
        <f>ROUND(3212,2)</f>
        <v>3212</v>
      </c>
      <c r="J1264" s="6">
        <f>ROUND(8.407077,2)</f>
        <v>8.41</v>
      </c>
      <c r="K1264" s="5">
        <f>ROUND(540070.63,0)</f>
        <v>540071</v>
      </c>
      <c r="L1264" s="7">
        <f>ROUND(0.000187697591455333,4)</f>
        <v>2.0000000000000001E-4</v>
      </c>
    </row>
    <row r="1265" spans="1:12">
      <c r="A1265" s="3" t="s">
        <v>2635</v>
      </c>
      <c r="B1265" s="4" t="s">
        <v>2636</v>
      </c>
      <c r="C1265" s="4" t="s">
        <v>406</v>
      </c>
      <c r="D1265" s="4" t="s">
        <v>407</v>
      </c>
      <c r="E1265" s="4" t="s">
        <v>35</v>
      </c>
      <c r="F1265" s="4" t="s">
        <v>21</v>
      </c>
      <c r="G1265" s="4" t="s">
        <v>408</v>
      </c>
      <c r="H1265" s="5">
        <f>ROUND(326,0)</f>
        <v>326</v>
      </c>
      <c r="I1265" s="6">
        <f>ROUND(182.32,2)</f>
        <v>182.32</v>
      </c>
      <c r="J1265" s="6">
        <f>ROUND(9.08595,2)</f>
        <v>9.09</v>
      </c>
      <c r="K1265" s="5">
        <f>ROUND(540035.43,0)</f>
        <v>540035</v>
      </c>
      <c r="L1265" s="7">
        <f>ROUND(0.000187685357953172,4)</f>
        <v>2.0000000000000001E-4</v>
      </c>
    </row>
    <row r="1266" spans="1:12">
      <c r="A1266" s="3" t="s">
        <v>2637</v>
      </c>
      <c r="B1266" s="4" t="s">
        <v>2638</v>
      </c>
      <c r="C1266" s="4" t="s">
        <v>400</v>
      </c>
      <c r="D1266" s="4" t="s">
        <v>401</v>
      </c>
      <c r="E1266" s="4" t="s">
        <v>402</v>
      </c>
      <c r="F1266" s="4" t="s">
        <v>403</v>
      </c>
      <c r="G1266" s="4" t="s">
        <v>408</v>
      </c>
      <c r="H1266" s="5">
        <f>ROUND(88000,0)</f>
        <v>88000</v>
      </c>
      <c r="I1266" s="6">
        <f>ROUND(20.95,2)</f>
        <v>20.95</v>
      </c>
      <c r="J1266" s="6">
        <f>ROUND(0.29286371,2)</f>
        <v>0.28999999999999998</v>
      </c>
      <c r="K1266" s="5">
        <f>ROUND(539923.54,0)</f>
        <v>539924</v>
      </c>
      <c r="L1266" s="7">
        <f>ROUND(0.000187646471403263,4)</f>
        <v>2.0000000000000001E-4</v>
      </c>
    </row>
    <row r="1267" spans="1:12">
      <c r="A1267" s="3" t="s">
        <v>2639</v>
      </c>
      <c r="B1267" s="4" t="s">
        <v>2640</v>
      </c>
      <c r="C1267" s="4" t="s">
        <v>534</v>
      </c>
      <c r="D1267" s="4" t="s">
        <v>489</v>
      </c>
      <c r="E1267" s="4" t="s">
        <v>490</v>
      </c>
      <c r="F1267" s="4" t="s">
        <v>45</v>
      </c>
      <c r="G1267" s="4" t="s">
        <v>408</v>
      </c>
      <c r="H1267" s="5">
        <f>ROUND(700,0)</f>
        <v>700</v>
      </c>
      <c r="I1267" s="6">
        <f>ROUND(9131,2)</f>
        <v>9131</v>
      </c>
      <c r="J1267" s="6">
        <f>ROUND(8.407077,2)</f>
        <v>8.41</v>
      </c>
      <c r="K1267" s="5">
        <f>ROUND(537355.14,0)</f>
        <v>537355</v>
      </c>
      <c r="L1267" s="7">
        <f>ROUND(0.000186753842796716,4)</f>
        <v>2.0000000000000001E-4</v>
      </c>
    </row>
    <row r="1268" spans="1:12">
      <c r="A1268" s="3" t="s">
        <v>2641</v>
      </c>
      <c r="B1268" s="4" t="s">
        <v>2642</v>
      </c>
      <c r="C1268" s="4" t="s">
        <v>430</v>
      </c>
      <c r="D1268" s="4" t="s">
        <v>407</v>
      </c>
      <c r="E1268" s="4" t="s">
        <v>35</v>
      </c>
      <c r="F1268" s="4" t="s">
        <v>21</v>
      </c>
      <c r="G1268" s="4" t="s">
        <v>408</v>
      </c>
      <c r="H1268" s="5">
        <f>ROUND(2310,0)</f>
        <v>2310</v>
      </c>
      <c r="I1268" s="6">
        <f>ROUND(25.6,2)</f>
        <v>25.6</v>
      </c>
      <c r="J1268" s="6">
        <f>ROUND(9.08595,2)</f>
        <v>9.09</v>
      </c>
      <c r="K1268" s="5">
        <f>ROUND(537306.74,0)</f>
        <v>537307</v>
      </c>
      <c r="L1268" s="7">
        <f>ROUND(0.000186737021731245,4)</f>
        <v>2.0000000000000001E-4</v>
      </c>
    </row>
    <row r="1269" spans="1:12">
      <c r="A1269" s="3" t="s">
        <v>2643</v>
      </c>
      <c r="B1269" s="4" t="s">
        <v>2644</v>
      </c>
      <c r="C1269" s="4" t="s">
        <v>389</v>
      </c>
      <c r="D1269" s="4" t="s">
        <v>489</v>
      </c>
      <c r="E1269" s="4" t="s">
        <v>490</v>
      </c>
      <c r="F1269" s="4" t="s">
        <v>45</v>
      </c>
      <c r="G1269" s="4" t="s">
        <v>408</v>
      </c>
      <c r="H1269" s="5">
        <f>ROUND(2800,0)</f>
        <v>2800</v>
      </c>
      <c r="I1269" s="6">
        <f>ROUND(2282,2)</f>
        <v>2282</v>
      </c>
      <c r="J1269" s="6">
        <f>ROUND(8.407077,2)</f>
        <v>8.41</v>
      </c>
      <c r="K1269" s="5">
        <f>ROUND(537178.59,0)</f>
        <v>537179</v>
      </c>
      <c r="L1269" s="7">
        <f>ROUND(0.00018669248413744,4)</f>
        <v>2.0000000000000001E-4</v>
      </c>
    </row>
    <row r="1270" spans="1:12">
      <c r="A1270" s="3" t="s">
        <v>2645</v>
      </c>
      <c r="B1270" s="4" t="s">
        <v>2646</v>
      </c>
      <c r="C1270" s="4" t="s">
        <v>400</v>
      </c>
      <c r="D1270" s="4" t="s">
        <v>739</v>
      </c>
      <c r="E1270" s="4" t="s">
        <v>740</v>
      </c>
      <c r="F1270" s="4" t="s">
        <v>741</v>
      </c>
      <c r="G1270" s="4" t="s">
        <v>408</v>
      </c>
      <c r="H1270" s="5">
        <f>ROUND(993,0)</f>
        <v>993</v>
      </c>
      <c r="I1270" s="6">
        <f>ROUND(71100,2)</f>
        <v>71100</v>
      </c>
      <c r="J1270" s="6">
        <f>ROUND(0.00759599,2)</f>
        <v>0.01</v>
      </c>
      <c r="K1270" s="5">
        <f>ROUND(536294.36,0)</f>
        <v>536294</v>
      </c>
      <c r="L1270" s="7">
        <f>ROUND(0.000186385176477898,4)</f>
        <v>2.0000000000000001E-4</v>
      </c>
    </row>
    <row r="1271" spans="1:12">
      <c r="A1271" s="3" t="s">
        <v>2647</v>
      </c>
      <c r="B1271" s="4" t="s">
        <v>2648</v>
      </c>
      <c r="C1271" s="4" t="s">
        <v>389</v>
      </c>
      <c r="D1271" s="4" t="s">
        <v>486</v>
      </c>
      <c r="E1271" s="4" t="s">
        <v>30</v>
      </c>
      <c r="F1271" s="4" t="s">
        <v>20</v>
      </c>
      <c r="G1271" s="4" t="s">
        <v>408</v>
      </c>
      <c r="H1271" s="5">
        <f>ROUND(943,0)</f>
        <v>943</v>
      </c>
      <c r="I1271" s="6">
        <f>ROUND(5075,2)</f>
        <v>5075</v>
      </c>
      <c r="J1271" s="6">
        <f>ROUND(11.19645077,2)</f>
        <v>11.2</v>
      </c>
      <c r="K1271" s="5">
        <f>ROUND(535831.34,0)</f>
        <v>535831</v>
      </c>
      <c r="L1271" s="7">
        <f>ROUND(0.000186224257268506,4)</f>
        <v>2.0000000000000001E-4</v>
      </c>
    </row>
    <row r="1272" spans="1:12">
      <c r="A1272" s="3" t="s">
        <v>2649</v>
      </c>
      <c r="B1272" s="4" t="s">
        <v>2650</v>
      </c>
      <c r="C1272" s="4" t="s">
        <v>389</v>
      </c>
      <c r="D1272" s="4" t="s">
        <v>407</v>
      </c>
      <c r="E1272" s="4" t="s">
        <v>35</v>
      </c>
      <c r="F1272" s="4" t="s">
        <v>21</v>
      </c>
      <c r="G1272" s="4" t="s">
        <v>408</v>
      </c>
      <c r="H1272" s="5">
        <f>ROUND(500,0)</f>
        <v>500</v>
      </c>
      <c r="I1272" s="6">
        <f>ROUND(117.9,2)</f>
        <v>117.9</v>
      </c>
      <c r="J1272" s="6">
        <f>ROUND(9.08595,2)</f>
        <v>9.09</v>
      </c>
      <c r="K1272" s="5">
        <f>ROUND(535616.75,0)</f>
        <v>535617</v>
      </c>
      <c r="L1272" s="7">
        <f>ROUND(0.000186149678085871,4)</f>
        <v>2.0000000000000001E-4</v>
      </c>
    </row>
    <row r="1273" spans="1:12">
      <c r="A1273" s="3" t="s">
        <v>2651</v>
      </c>
      <c r="B1273" s="4" t="s">
        <v>2652</v>
      </c>
      <c r="C1273" s="4" t="s">
        <v>389</v>
      </c>
      <c r="D1273" s="4" t="s">
        <v>520</v>
      </c>
      <c r="E1273" s="4" t="s">
        <v>521</v>
      </c>
      <c r="F1273" s="4" t="s">
        <v>18</v>
      </c>
      <c r="G1273" s="4" t="s">
        <v>408</v>
      </c>
      <c r="H1273" s="5">
        <f>ROUND(524,0)</f>
        <v>524</v>
      </c>
      <c r="I1273" s="6">
        <f>ROUND(103,2)</f>
        <v>103</v>
      </c>
      <c r="J1273" s="6">
        <f>ROUND(9.9055,2)</f>
        <v>9.91</v>
      </c>
      <c r="K1273" s="5">
        <f>ROUND(534619.65,0)</f>
        <v>534620</v>
      </c>
      <c r="L1273" s="7">
        <f>ROUND(0.000185803143284598,4)</f>
        <v>2.0000000000000001E-4</v>
      </c>
    </row>
    <row r="1274" spans="1:12">
      <c r="A1274" s="3" t="s">
        <v>2653</v>
      </c>
      <c r="B1274" s="4" t="s">
        <v>2654</v>
      </c>
      <c r="C1274" s="4" t="s">
        <v>415</v>
      </c>
      <c r="D1274" s="4" t="s">
        <v>407</v>
      </c>
      <c r="E1274" s="4" t="s">
        <v>35</v>
      </c>
      <c r="F1274" s="4" t="s">
        <v>21</v>
      </c>
      <c r="G1274" s="4" t="s">
        <v>408</v>
      </c>
      <c r="H1274" s="5">
        <f>ROUND(2389,0)</f>
        <v>2389</v>
      </c>
      <c r="I1274" s="6">
        <f>ROUND(24.62,2)</f>
        <v>24.62</v>
      </c>
      <c r="J1274" s="6">
        <f>ROUND(9.08595,2)</f>
        <v>9.09</v>
      </c>
      <c r="K1274" s="5">
        <f>ROUND(534409.96,0)</f>
        <v>534410</v>
      </c>
      <c r="L1274" s="7">
        <f>ROUND(0.000185730267061071,4)</f>
        <v>2.0000000000000001E-4</v>
      </c>
    </row>
    <row r="1275" spans="1:12">
      <c r="A1275" s="3" t="s">
        <v>2655</v>
      </c>
      <c r="B1275" s="4" t="s">
        <v>2656</v>
      </c>
      <c r="C1275" s="4" t="s">
        <v>406</v>
      </c>
      <c r="D1275" s="4" t="s">
        <v>456</v>
      </c>
      <c r="E1275" s="4" t="s">
        <v>457</v>
      </c>
      <c r="F1275" s="4" t="s">
        <v>26</v>
      </c>
      <c r="G1275" s="4" t="s">
        <v>408</v>
      </c>
      <c r="H1275" s="5">
        <f>ROUND(4000,0)</f>
        <v>4000</v>
      </c>
      <c r="I1275" s="6">
        <f>ROUND(115.2,2)</f>
        <v>115.2</v>
      </c>
      <c r="J1275" s="6">
        <f>ROUND(1.15901246,2)</f>
        <v>1.1599999999999999</v>
      </c>
      <c r="K1275" s="5">
        <f>ROUND(534072.94,0)</f>
        <v>534073</v>
      </c>
      <c r="L1275" s="7">
        <f>ROUND(0.000185613138228733,4)</f>
        <v>2.0000000000000001E-4</v>
      </c>
    </row>
    <row r="1276" spans="1:12">
      <c r="A1276" s="3" t="s">
        <v>2657</v>
      </c>
      <c r="B1276" s="4" t="s">
        <v>2658</v>
      </c>
      <c r="C1276" s="4" t="s">
        <v>400</v>
      </c>
      <c r="D1276" s="4" t="s">
        <v>717</v>
      </c>
      <c r="E1276" s="4" t="s">
        <v>718</v>
      </c>
      <c r="F1276" s="4" t="s">
        <v>175</v>
      </c>
      <c r="G1276" s="4" t="s">
        <v>408</v>
      </c>
      <c r="H1276" s="5">
        <f>ROUND(5457,0)</f>
        <v>5457</v>
      </c>
      <c r="I1276" s="6">
        <f>ROUND(16319,2)</f>
        <v>16319</v>
      </c>
      <c r="J1276" s="6">
        <f>ROUND(0.59923836,2)</f>
        <v>0.6</v>
      </c>
      <c r="K1276" s="5">
        <f>ROUND(533638.44,0)</f>
        <v>533638</v>
      </c>
      <c r="L1276" s="7">
        <f>ROUND(0.000185462130936432,4)</f>
        <v>2.0000000000000001E-4</v>
      </c>
    </row>
    <row r="1277" spans="1:12">
      <c r="A1277" s="3" t="s">
        <v>2659</v>
      </c>
      <c r="B1277" s="4" t="s">
        <v>2660</v>
      </c>
      <c r="C1277" s="4" t="s">
        <v>389</v>
      </c>
      <c r="D1277" s="4" t="s">
        <v>489</v>
      </c>
      <c r="E1277" s="4" t="s">
        <v>490</v>
      </c>
      <c r="F1277" s="4" t="s">
        <v>45</v>
      </c>
      <c r="G1277" s="4" t="s">
        <v>408</v>
      </c>
      <c r="H1277" s="5">
        <f>ROUND(400,0)</f>
        <v>400</v>
      </c>
      <c r="I1277" s="6">
        <f>ROUND(15810,2)</f>
        <v>15810</v>
      </c>
      <c r="J1277" s="6">
        <f>ROUND(8.407077,2)</f>
        <v>8.41</v>
      </c>
      <c r="K1277" s="5">
        <f>ROUND(531663.55,0)</f>
        <v>531664</v>
      </c>
      <c r="L1277" s="7">
        <f>ROUND(0.000184775772382942,4)</f>
        <v>2.0000000000000001E-4</v>
      </c>
    </row>
    <row r="1278" spans="1:12">
      <c r="A1278" s="3" t="s">
        <v>2661</v>
      </c>
      <c r="B1278" s="4" t="s">
        <v>2662</v>
      </c>
      <c r="C1278" s="4" t="s">
        <v>493</v>
      </c>
      <c r="D1278" s="4" t="s">
        <v>771</v>
      </c>
      <c r="E1278" s="4" t="s">
        <v>772</v>
      </c>
      <c r="F1278" s="4" t="s">
        <v>18</v>
      </c>
      <c r="G1278" s="4" t="s">
        <v>408</v>
      </c>
      <c r="H1278" s="5">
        <f>ROUND(11559,0)</f>
        <v>11559</v>
      </c>
      <c r="I1278" s="6">
        <f>ROUND(4.634,2)</f>
        <v>4.63</v>
      </c>
      <c r="J1278" s="6">
        <f>ROUND(9.9055,2)</f>
        <v>9.91</v>
      </c>
      <c r="K1278" s="5">
        <f>ROUND(530582.26,0)</f>
        <v>530582</v>
      </c>
      <c r="L1278" s="7">
        <f>ROUND(0.000184399977963859,4)</f>
        <v>2.0000000000000001E-4</v>
      </c>
    </row>
    <row r="1279" spans="1:12">
      <c r="A1279" s="3" t="s">
        <v>2663</v>
      </c>
      <c r="B1279" s="4" t="s">
        <v>2664</v>
      </c>
      <c r="C1279" s="4" t="s">
        <v>422</v>
      </c>
      <c r="D1279" s="4" t="s">
        <v>520</v>
      </c>
      <c r="E1279" s="4" t="s">
        <v>521</v>
      </c>
      <c r="F1279" s="4" t="s">
        <v>18</v>
      </c>
      <c r="G1279" s="4" t="s">
        <v>408</v>
      </c>
      <c r="H1279" s="5">
        <f>ROUND(3322,0)</f>
        <v>3322</v>
      </c>
      <c r="I1279" s="6">
        <f>ROUND(16.06,2)</f>
        <v>16.059999999999999</v>
      </c>
      <c r="J1279" s="6">
        <f>ROUND(9.9055,2)</f>
        <v>9.91</v>
      </c>
      <c r="K1279" s="5">
        <f>ROUND(528471.5,0)</f>
        <v>528472</v>
      </c>
      <c r="L1279" s="7">
        <f>ROUND(0.000183666398787113,4)</f>
        <v>2.0000000000000001E-4</v>
      </c>
    </row>
    <row r="1280" spans="1:12">
      <c r="A1280" s="3" t="s">
        <v>2665</v>
      </c>
      <c r="B1280" s="4" t="s">
        <v>2666</v>
      </c>
      <c r="C1280" s="4" t="s">
        <v>389</v>
      </c>
      <c r="D1280" s="4" t="s">
        <v>456</v>
      </c>
      <c r="E1280" s="4" t="s">
        <v>457</v>
      </c>
      <c r="F1280" s="4" t="s">
        <v>26</v>
      </c>
      <c r="G1280" s="4" t="s">
        <v>408</v>
      </c>
      <c r="H1280" s="5">
        <f>ROUND(7000,0)</f>
        <v>7000</v>
      </c>
      <c r="I1280" s="6">
        <f>ROUND(64.85,2)</f>
        <v>64.849999999999994</v>
      </c>
      <c r="J1280" s="6">
        <f>ROUND(1.15901246,2)</f>
        <v>1.1599999999999999</v>
      </c>
      <c r="K1280" s="5">
        <f>ROUND(526133.71,0)</f>
        <v>526134</v>
      </c>
      <c r="L1280" s="7">
        <f>ROUND(0.000182853916996854,4)</f>
        <v>2.0000000000000001E-4</v>
      </c>
    </row>
    <row r="1281" spans="1:12">
      <c r="A1281" s="3" t="s">
        <v>2667</v>
      </c>
      <c r="B1281" s="4" t="s">
        <v>2668</v>
      </c>
      <c r="C1281" s="4" t="s">
        <v>389</v>
      </c>
      <c r="D1281" s="4" t="s">
        <v>407</v>
      </c>
      <c r="E1281" s="4" t="s">
        <v>35</v>
      </c>
      <c r="F1281" s="4" t="s">
        <v>21</v>
      </c>
      <c r="G1281" s="4" t="s">
        <v>408</v>
      </c>
      <c r="H1281" s="5">
        <f>ROUND(531,0)</f>
        <v>531</v>
      </c>
      <c r="I1281" s="6">
        <f>ROUND(108.72,2)</f>
        <v>108.72</v>
      </c>
      <c r="J1281" s="6">
        <f>ROUND(9.08595,2)</f>
        <v>9.09</v>
      </c>
      <c r="K1281" s="5">
        <f>ROUND(524534.8,0)</f>
        <v>524535</v>
      </c>
      <c r="L1281" s="7">
        <f>ROUND(0.000182298227538322,4)</f>
        <v>2.0000000000000001E-4</v>
      </c>
    </row>
    <row r="1282" spans="1:12">
      <c r="A1282" s="3" t="s">
        <v>2669</v>
      </c>
      <c r="B1282" s="4" t="s">
        <v>2670</v>
      </c>
      <c r="C1282" s="4" t="s">
        <v>445</v>
      </c>
      <c r="D1282" s="4" t="s">
        <v>407</v>
      </c>
      <c r="E1282" s="4" t="s">
        <v>35</v>
      </c>
      <c r="F1282" s="4" t="s">
        <v>21</v>
      </c>
      <c r="G1282" s="4" t="s">
        <v>408</v>
      </c>
      <c r="H1282" s="5">
        <f>ROUND(700,0)</f>
        <v>700</v>
      </c>
      <c r="I1282" s="6">
        <f>ROUND(82.33,2)</f>
        <v>82.33</v>
      </c>
      <c r="J1282" s="6">
        <f>ROUND(9.08595,2)</f>
        <v>9.09</v>
      </c>
      <c r="K1282" s="5">
        <f>ROUND(523632.38,0)</f>
        <v>523632</v>
      </c>
      <c r="L1282" s="7">
        <f>ROUND(0.000181984598077522,4)</f>
        <v>2.0000000000000001E-4</v>
      </c>
    </row>
    <row r="1283" spans="1:12">
      <c r="A1283" s="3" t="s">
        <v>2671</v>
      </c>
      <c r="B1283" s="4" t="s">
        <v>2672</v>
      </c>
      <c r="C1283" s="4" t="s">
        <v>493</v>
      </c>
      <c r="D1283" s="4" t="s">
        <v>489</v>
      </c>
      <c r="E1283" s="4" t="s">
        <v>490</v>
      </c>
      <c r="F1283" s="4" t="s">
        <v>45</v>
      </c>
      <c r="G1283" s="4" t="s">
        <v>408</v>
      </c>
      <c r="H1283" s="5">
        <f>ROUND(3000,0)</f>
        <v>3000</v>
      </c>
      <c r="I1283" s="6">
        <f>ROUND(2067,2)</f>
        <v>2067</v>
      </c>
      <c r="J1283" s="6">
        <f>ROUND(8.407077,2)</f>
        <v>8.41</v>
      </c>
      <c r="K1283" s="5">
        <f>ROUND(521322.84,0)</f>
        <v>521323</v>
      </c>
      <c r="L1283" s="7">
        <f>ROUND(0.000181181934367833,4)</f>
        <v>2.0000000000000001E-4</v>
      </c>
    </row>
    <row r="1284" spans="1:12">
      <c r="A1284" s="3" t="s">
        <v>2673</v>
      </c>
      <c r="B1284" s="4" t="s">
        <v>2674</v>
      </c>
      <c r="C1284" s="4" t="s">
        <v>566</v>
      </c>
      <c r="D1284" s="4" t="s">
        <v>407</v>
      </c>
      <c r="E1284" s="4" t="s">
        <v>35</v>
      </c>
      <c r="F1284" s="4" t="s">
        <v>21</v>
      </c>
      <c r="G1284" s="4" t="s">
        <v>408</v>
      </c>
      <c r="H1284" s="5">
        <f>ROUND(900,0)</f>
        <v>900</v>
      </c>
      <c r="I1284" s="6">
        <f>ROUND(63.67,2)</f>
        <v>63.67</v>
      </c>
      <c r="J1284" s="6">
        <f>ROUND(9.08595,2)</f>
        <v>9.09</v>
      </c>
      <c r="K1284" s="5">
        <f>ROUND(520652.19,0)</f>
        <v>520652</v>
      </c>
      <c r="L1284" s="7">
        <f>ROUND(0.000180948854872824,4)</f>
        <v>2.0000000000000001E-4</v>
      </c>
    </row>
    <row r="1285" spans="1:12">
      <c r="A1285" s="3" t="s">
        <v>2675</v>
      </c>
      <c r="B1285" s="4" t="s">
        <v>2676</v>
      </c>
      <c r="C1285" s="4" t="s">
        <v>566</v>
      </c>
      <c r="D1285" s="4" t="s">
        <v>552</v>
      </c>
      <c r="E1285" s="4" t="s">
        <v>553</v>
      </c>
      <c r="F1285" s="4" t="s">
        <v>26</v>
      </c>
      <c r="G1285" s="4" t="s">
        <v>408</v>
      </c>
      <c r="H1285" s="5">
        <f>ROUND(44000,0)</f>
        <v>44000</v>
      </c>
      <c r="I1285" s="6">
        <f>ROUND(10.18,2)</f>
        <v>10.18</v>
      </c>
      <c r="J1285" s="6">
        <f>ROUND(1.15901246,2)</f>
        <v>1.1599999999999999</v>
      </c>
      <c r="K1285" s="5">
        <f>ROUND(519144.86,0)</f>
        <v>519145</v>
      </c>
      <c r="L1285" s="7">
        <f>ROUND(0.000180424993372471,4)</f>
        <v>2.0000000000000001E-4</v>
      </c>
    </row>
    <row r="1286" spans="1:12">
      <c r="A1286" s="3" t="s">
        <v>2677</v>
      </c>
      <c r="B1286" s="4" t="s">
        <v>2678</v>
      </c>
      <c r="C1286" s="4" t="s">
        <v>493</v>
      </c>
      <c r="D1286" s="4" t="s">
        <v>520</v>
      </c>
      <c r="E1286" s="4" t="s">
        <v>521</v>
      </c>
      <c r="F1286" s="4" t="s">
        <v>18</v>
      </c>
      <c r="G1286" s="4" t="s">
        <v>408</v>
      </c>
      <c r="H1286" s="5">
        <f>ROUND(2253,0)</f>
        <v>2253</v>
      </c>
      <c r="I1286" s="6">
        <f>ROUND(23.26,2)</f>
        <v>23.26</v>
      </c>
      <c r="J1286" s="6">
        <f>ROUND(9.9055,2)</f>
        <v>9.91</v>
      </c>
      <c r="K1286" s="5">
        <f>ROUND(519095.55,0)</f>
        <v>519096</v>
      </c>
      <c r="L1286" s="7">
        <f>ROUND(0.000180407856043165,4)</f>
        <v>2.0000000000000001E-4</v>
      </c>
    </row>
    <row r="1287" spans="1:12">
      <c r="A1287" s="3" t="s">
        <v>2679</v>
      </c>
      <c r="B1287" s="4" t="s">
        <v>2680</v>
      </c>
      <c r="C1287" s="4" t="s">
        <v>389</v>
      </c>
      <c r="D1287" s="4" t="s">
        <v>489</v>
      </c>
      <c r="E1287" s="4" t="s">
        <v>490</v>
      </c>
      <c r="F1287" s="4" t="s">
        <v>45</v>
      </c>
      <c r="G1287" s="4" t="s">
        <v>408</v>
      </c>
      <c r="H1287" s="5">
        <f>ROUND(4500,0)</f>
        <v>4500</v>
      </c>
      <c r="I1287" s="6">
        <f>ROUND(1371,2)</f>
        <v>1371</v>
      </c>
      <c r="J1287" s="6">
        <f>ROUND(8.407077,2)</f>
        <v>8.41</v>
      </c>
      <c r="K1287" s="5">
        <f>ROUND(518674.62,0)</f>
        <v>518675</v>
      </c>
      <c r="L1287" s="7">
        <f>ROUND(0.000180261564904965,4)</f>
        <v>2.0000000000000001E-4</v>
      </c>
    </row>
    <row r="1288" spans="1:12">
      <c r="A1288" s="3" t="s">
        <v>2681</v>
      </c>
      <c r="B1288" s="4" t="s">
        <v>2682</v>
      </c>
      <c r="C1288" s="4" t="s">
        <v>389</v>
      </c>
      <c r="D1288" s="4" t="s">
        <v>486</v>
      </c>
      <c r="E1288" s="4" t="s">
        <v>30</v>
      </c>
      <c r="F1288" s="4" t="s">
        <v>20</v>
      </c>
      <c r="G1288" s="4" t="s">
        <v>408</v>
      </c>
      <c r="H1288" s="5">
        <f>ROUND(7147,0)</f>
        <v>7147</v>
      </c>
      <c r="I1288" s="6">
        <f>ROUND(648,2)</f>
        <v>648</v>
      </c>
      <c r="J1288" s="6">
        <f>ROUND(11.19645077,2)</f>
        <v>11.2</v>
      </c>
      <c r="K1288" s="5">
        <f>ROUND(518536.3,0)</f>
        <v>518536</v>
      </c>
      <c r="L1288" s="7">
        <f>ROUND(0.000180213492802155,4)</f>
        <v>2.0000000000000001E-4</v>
      </c>
    </row>
    <row r="1289" spans="1:12">
      <c r="A1289" s="3" t="s">
        <v>2683</v>
      </c>
      <c r="B1289" s="4" t="s">
        <v>2684</v>
      </c>
      <c r="C1289" s="4" t="s">
        <v>389</v>
      </c>
      <c r="D1289" s="4" t="s">
        <v>407</v>
      </c>
      <c r="E1289" s="4" t="s">
        <v>35</v>
      </c>
      <c r="F1289" s="4" t="s">
        <v>21</v>
      </c>
      <c r="G1289" s="4" t="s">
        <v>408</v>
      </c>
      <c r="H1289" s="5">
        <f>ROUND(1021,0)</f>
        <v>1021</v>
      </c>
      <c r="I1289" s="6">
        <f>ROUND(55.85,2)</f>
        <v>55.85</v>
      </c>
      <c r="J1289" s="6">
        <f>ROUND(9.08595,2)</f>
        <v>9.09</v>
      </c>
      <c r="K1289" s="5">
        <f>ROUND(518106.76,0)</f>
        <v>518107</v>
      </c>
      <c r="L1289" s="7">
        <f>ROUND(0.000180064209321522,4)</f>
        <v>2.0000000000000001E-4</v>
      </c>
    </row>
    <row r="1290" spans="1:12">
      <c r="A1290" s="3" t="s">
        <v>2685</v>
      </c>
      <c r="B1290" s="4" t="s">
        <v>2686</v>
      </c>
      <c r="C1290" s="4" t="s">
        <v>566</v>
      </c>
      <c r="D1290" s="4" t="s">
        <v>390</v>
      </c>
      <c r="E1290" s="4" t="s">
        <v>391</v>
      </c>
      <c r="F1290" s="4" t="s">
        <v>72</v>
      </c>
      <c r="G1290" s="4" t="s">
        <v>408</v>
      </c>
      <c r="H1290" s="5">
        <f>ROUND(32820,0)</f>
        <v>32820</v>
      </c>
      <c r="I1290" s="6">
        <f>ROUND(2.57,2)</f>
        <v>2.57</v>
      </c>
      <c r="J1290" s="6">
        <f>ROUND(6.12812423,2)</f>
        <v>6.13</v>
      </c>
      <c r="K1290" s="5">
        <f>ROUND(516891.35,0)</f>
        <v>516891</v>
      </c>
      <c r="L1290" s="7">
        <f>ROUND(0.000179641802478864,4)</f>
        <v>2.0000000000000001E-4</v>
      </c>
    </row>
    <row r="1291" spans="1:12">
      <c r="A1291" s="3" t="s">
        <v>2687</v>
      </c>
      <c r="B1291" s="4" t="s">
        <v>2688</v>
      </c>
      <c r="C1291" s="4" t="s">
        <v>430</v>
      </c>
      <c r="D1291" s="4" t="s">
        <v>2689</v>
      </c>
      <c r="E1291" s="4" t="s">
        <v>2690</v>
      </c>
      <c r="F1291" s="4" t="s">
        <v>72</v>
      </c>
      <c r="G1291" s="4" t="s">
        <v>408</v>
      </c>
      <c r="H1291" s="5">
        <f>ROUND(11509,0)</f>
        <v>11509</v>
      </c>
      <c r="I1291" s="6">
        <f>ROUND(7.32,2)</f>
        <v>7.32</v>
      </c>
      <c r="J1291" s="6">
        <f>ROUND(6.12812423,2)</f>
        <v>6.13</v>
      </c>
      <c r="K1291" s="5">
        <f>ROUND(516269.22,0)</f>
        <v>516269</v>
      </c>
      <c r="L1291" s="7">
        <f>ROUND(0.000179425585754448,4)</f>
        <v>2.0000000000000001E-4</v>
      </c>
    </row>
    <row r="1292" spans="1:12">
      <c r="A1292" s="3" t="s">
        <v>2691</v>
      </c>
      <c r="B1292" s="4" t="s">
        <v>2692</v>
      </c>
      <c r="C1292" s="4" t="s">
        <v>389</v>
      </c>
      <c r="D1292" s="4" t="s">
        <v>541</v>
      </c>
      <c r="E1292" s="4" t="s">
        <v>542</v>
      </c>
      <c r="F1292" s="4" t="s">
        <v>18</v>
      </c>
      <c r="G1292" s="4" t="s">
        <v>408</v>
      </c>
      <c r="H1292" s="5">
        <f>ROUND(1277,0)</f>
        <v>1277</v>
      </c>
      <c r="I1292" s="6">
        <f>ROUND(40.76,2)</f>
        <v>40.76</v>
      </c>
      <c r="J1292" s="6">
        <f>ROUND(9.9055,2)</f>
        <v>9.91</v>
      </c>
      <c r="K1292" s="5">
        <f>ROUND(515586.43,0)</f>
        <v>515586</v>
      </c>
      <c r="L1292" s="7">
        <f>ROUND(0.000179188287091364,4)</f>
        <v>2.0000000000000001E-4</v>
      </c>
    </row>
    <row r="1293" spans="1:12">
      <c r="A1293" s="3" t="s">
        <v>2693</v>
      </c>
      <c r="B1293" s="4" t="s">
        <v>2694</v>
      </c>
      <c r="C1293" s="4" t="s">
        <v>493</v>
      </c>
      <c r="D1293" s="4" t="s">
        <v>1333</v>
      </c>
      <c r="E1293" s="4" t="s">
        <v>3</v>
      </c>
      <c r="F1293" s="4" t="s">
        <v>1334</v>
      </c>
      <c r="G1293" s="4" t="s">
        <v>408</v>
      </c>
      <c r="H1293" s="5">
        <f>ROUND(383300,0)</f>
        <v>383300</v>
      </c>
      <c r="I1293" s="6">
        <f>ROUND(2100,2)</f>
        <v>2100</v>
      </c>
      <c r="J1293" s="6">
        <f>ROUND(6.4008,2)</f>
        <v>6.4</v>
      </c>
      <c r="K1293" s="5">
        <f>ROUND(515219.59,0)</f>
        <v>515220</v>
      </c>
      <c r="L1293" s="7">
        <f>ROUND(0.000179060794536456,4)</f>
        <v>2.0000000000000001E-4</v>
      </c>
    </row>
    <row r="1294" spans="1:12">
      <c r="A1294" s="3" t="s">
        <v>2695</v>
      </c>
      <c r="B1294" s="4" t="s">
        <v>2696</v>
      </c>
      <c r="C1294" s="4" t="s">
        <v>534</v>
      </c>
      <c r="D1294" s="4" t="s">
        <v>486</v>
      </c>
      <c r="E1294" s="4" t="s">
        <v>30</v>
      </c>
      <c r="F1294" s="4" t="s">
        <v>20</v>
      </c>
      <c r="G1294" s="4" t="s">
        <v>408</v>
      </c>
      <c r="H1294" s="5">
        <f>ROUND(29315,0)</f>
        <v>29315</v>
      </c>
      <c r="I1294" s="6">
        <f>ROUND(156.85,2)</f>
        <v>156.85</v>
      </c>
      <c r="J1294" s="6">
        <f>ROUND(11.19645077,2)</f>
        <v>11.2</v>
      </c>
      <c r="K1294" s="5">
        <f>ROUND(514819.3,0)</f>
        <v>514819</v>
      </c>
      <c r="L1294" s="7">
        <f>ROUND(0.000178921676679068,4)</f>
        <v>2.0000000000000001E-4</v>
      </c>
    </row>
    <row r="1295" spans="1:12">
      <c r="A1295" s="3" t="s">
        <v>2697</v>
      </c>
      <c r="B1295" s="4" t="s">
        <v>2698</v>
      </c>
      <c r="C1295" s="4" t="s">
        <v>534</v>
      </c>
      <c r="D1295" s="4" t="s">
        <v>489</v>
      </c>
      <c r="E1295" s="4" t="s">
        <v>490</v>
      </c>
      <c r="F1295" s="4" t="s">
        <v>45</v>
      </c>
      <c r="G1295" s="4" t="s">
        <v>408</v>
      </c>
      <c r="H1295" s="5">
        <f>ROUND(1800,0)</f>
        <v>1800</v>
      </c>
      <c r="I1295" s="6">
        <f>ROUND(3400,2)</f>
        <v>3400</v>
      </c>
      <c r="J1295" s="6">
        <f>ROUND(8.407077,2)</f>
        <v>8.41</v>
      </c>
      <c r="K1295" s="5">
        <f>ROUND(514513.11,0)</f>
        <v>514513</v>
      </c>
      <c r="L1295" s="7">
        <f>ROUND(0.000178815262587401,4)</f>
        <v>2.0000000000000001E-4</v>
      </c>
    </row>
    <row r="1296" spans="1:12">
      <c r="A1296" s="3" t="s">
        <v>2699</v>
      </c>
      <c r="B1296" s="4" t="s">
        <v>2700</v>
      </c>
      <c r="C1296" s="4" t="s">
        <v>389</v>
      </c>
      <c r="D1296" s="4" t="s">
        <v>514</v>
      </c>
      <c r="E1296" s="4" t="s">
        <v>515</v>
      </c>
      <c r="F1296" s="4" t="s">
        <v>190</v>
      </c>
      <c r="G1296" s="4" t="s">
        <v>408</v>
      </c>
      <c r="H1296" s="5">
        <f>ROUND(1594,0)</f>
        <v>1594</v>
      </c>
      <c r="I1296" s="6">
        <f>ROUND(47.02,2)</f>
        <v>47.02</v>
      </c>
      <c r="J1296" s="6">
        <f>ROUND(6.86237833,2)</f>
        <v>6.86</v>
      </c>
      <c r="K1296" s="5">
        <f>ROUND(514334.43,0)</f>
        <v>514334</v>
      </c>
      <c r="L1296" s="7">
        <f>ROUND(0.000178753163662227,4)</f>
        <v>2.0000000000000001E-4</v>
      </c>
    </row>
    <row r="1297" spans="1:12">
      <c r="A1297" s="3" t="s">
        <v>2701</v>
      </c>
      <c r="B1297" s="4" t="s">
        <v>2702</v>
      </c>
      <c r="C1297" s="4" t="s">
        <v>445</v>
      </c>
      <c r="D1297" s="4" t="s">
        <v>407</v>
      </c>
      <c r="E1297" s="4" t="s">
        <v>35</v>
      </c>
      <c r="F1297" s="4" t="s">
        <v>21</v>
      </c>
      <c r="G1297" s="4" t="s">
        <v>408</v>
      </c>
      <c r="H1297" s="5">
        <f>ROUND(317,0)</f>
        <v>317</v>
      </c>
      <c r="I1297" s="6">
        <f>ROUND(177.89,2)</f>
        <v>177.89</v>
      </c>
      <c r="J1297" s="6">
        <f>ROUND(9.08595,2)</f>
        <v>9.09</v>
      </c>
      <c r="K1297" s="5">
        <f>ROUND(512366.99,0)</f>
        <v>512367</v>
      </c>
      <c r="L1297" s="7">
        <f>ROUND(0.000178069394301666,4)</f>
        <v>2.0000000000000001E-4</v>
      </c>
    </row>
    <row r="1298" spans="1:12">
      <c r="A1298" s="3" t="s">
        <v>2703</v>
      </c>
      <c r="B1298" s="4" t="s">
        <v>2704</v>
      </c>
      <c r="C1298" s="4" t="s">
        <v>415</v>
      </c>
      <c r="D1298" s="4" t="s">
        <v>489</v>
      </c>
      <c r="E1298" s="4" t="s">
        <v>490</v>
      </c>
      <c r="F1298" s="4" t="s">
        <v>45</v>
      </c>
      <c r="G1298" s="4" t="s">
        <v>408</v>
      </c>
      <c r="H1298" s="5">
        <f>ROUND(1600,0)</f>
        <v>1600</v>
      </c>
      <c r="I1298" s="6">
        <f>ROUND(3805,2)</f>
        <v>3805</v>
      </c>
      <c r="J1298" s="6">
        <f>ROUND(8.407077,2)</f>
        <v>8.41</v>
      </c>
      <c r="K1298" s="5">
        <f>ROUND(511822.85,0)</f>
        <v>511823</v>
      </c>
      <c r="L1298" s="7">
        <f>ROUND(0.000177880282430475,4)</f>
        <v>2.0000000000000001E-4</v>
      </c>
    </row>
    <row r="1299" spans="1:12">
      <c r="A1299" s="3" t="s">
        <v>2705</v>
      </c>
      <c r="B1299" s="4" t="s">
        <v>2706</v>
      </c>
      <c r="C1299" s="4" t="s">
        <v>534</v>
      </c>
      <c r="D1299" s="4" t="s">
        <v>486</v>
      </c>
      <c r="E1299" s="4" t="s">
        <v>30</v>
      </c>
      <c r="F1299" s="4" t="s">
        <v>20</v>
      </c>
      <c r="G1299" s="4" t="s">
        <v>408</v>
      </c>
      <c r="H1299" s="5">
        <f>ROUND(22652,0)</f>
        <v>22652</v>
      </c>
      <c r="I1299" s="6">
        <f>ROUND(201.6,2)</f>
        <v>201.6</v>
      </c>
      <c r="J1299" s="6">
        <f>ROUND(11.19645077,2)</f>
        <v>11.2</v>
      </c>
      <c r="K1299" s="5">
        <f>ROUND(511301.94,0)</f>
        <v>511302</v>
      </c>
      <c r="L1299" s="7">
        <f>ROUND(0.000177699243975625,4)</f>
        <v>2.0000000000000001E-4</v>
      </c>
    </row>
    <row r="1300" spans="1:12">
      <c r="A1300" s="3" t="s">
        <v>2707</v>
      </c>
      <c r="B1300" s="4" t="s">
        <v>2708</v>
      </c>
      <c r="C1300" s="4" t="s">
        <v>389</v>
      </c>
      <c r="D1300" s="4" t="s">
        <v>789</v>
      </c>
      <c r="E1300" s="4" t="s">
        <v>790</v>
      </c>
      <c r="F1300" s="4" t="s">
        <v>791</v>
      </c>
      <c r="G1300" s="4" t="s">
        <v>408</v>
      </c>
      <c r="H1300" s="5">
        <f>ROUND(224,0)</f>
        <v>224</v>
      </c>
      <c r="I1300" s="6">
        <f>ROUND(17765.2,2)</f>
        <v>17765.2</v>
      </c>
      <c r="J1300" s="6">
        <f>ROUND(0.12820804,2)</f>
        <v>0.13</v>
      </c>
      <c r="K1300" s="5">
        <f>ROUND(510191.69,0)</f>
        <v>510192</v>
      </c>
      <c r="L1300" s="7">
        <f>ROUND(0.000177313384720673,4)</f>
        <v>2.0000000000000001E-4</v>
      </c>
    </row>
    <row r="1301" spans="1:12">
      <c r="A1301" s="3" t="s">
        <v>2709</v>
      </c>
      <c r="B1301" s="4" t="s">
        <v>2710</v>
      </c>
      <c r="C1301" s="4" t="s">
        <v>415</v>
      </c>
      <c r="D1301" s="4" t="s">
        <v>489</v>
      </c>
      <c r="E1301" s="4" t="s">
        <v>490</v>
      </c>
      <c r="F1301" s="4" t="s">
        <v>45</v>
      </c>
      <c r="G1301" s="4" t="s">
        <v>408</v>
      </c>
      <c r="H1301" s="5">
        <f>ROUND(4600,0)</f>
        <v>4600</v>
      </c>
      <c r="I1301" s="6">
        <f>ROUND(1311,2)</f>
        <v>1311</v>
      </c>
      <c r="J1301" s="6">
        <f>ROUND(8.407077,2)</f>
        <v>8.41</v>
      </c>
      <c r="K1301" s="5">
        <f>ROUND(506997.19,0)</f>
        <v>506997</v>
      </c>
      <c r="L1301" s="7">
        <f>ROUND(0.000176203159645289,4)</f>
        <v>2.0000000000000001E-4</v>
      </c>
    </row>
    <row r="1302" spans="1:12">
      <c r="A1302" s="3" t="s">
        <v>2711</v>
      </c>
      <c r="B1302" s="4" t="s">
        <v>2712</v>
      </c>
      <c r="C1302" s="4" t="s">
        <v>534</v>
      </c>
      <c r="D1302" s="4" t="s">
        <v>1024</v>
      </c>
      <c r="E1302" s="4" t="s">
        <v>1025</v>
      </c>
      <c r="F1302" s="4" t="s">
        <v>1026</v>
      </c>
      <c r="G1302" s="4" t="s">
        <v>408</v>
      </c>
      <c r="H1302" s="5">
        <f>ROUND(2816,0)</f>
        <v>2816</v>
      </c>
      <c r="I1302" s="6">
        <f>ROUND(194.3,2)</f>
        <v>194.3</v>
      </c>
      <c r="J1302" s="6">
        <f>ROUND(0.92410673,2)</f>
        <v>0.92</v>
      </c>
      <c r="K1302" s="5">
        <f>ROUND(505623.89,0)</f>
        <v>505624</v>
      </c>
      <c r="L1302" s="7">
        <f>ROUND(0.000175725879289671,4)</f>
        <v>2.0000000000000001E-4</v>
      </c>
    </row>
    <row r="1303" spans="1:12">
      <c r="A1303" s="3" t="s">
        <v>2713</v>
      </c>
      <c r="B1303" s="4" t="s">
        <v>2714</v>
      </c>
      <c r="C1303" s="4" t="s">
        <v>545</v>
      </c>
      <c r="D1303" s="4" t="s">
        <v>489</v>
      </c>
      <c r="E1303" s="4" t="s">
        <v>490</v>
      </c>
      <c r="F1303" s="4" t="s">
        <v>45</v>
      </c>
      <c r="G1303" s="4" t="s">
        <v>408</v>
      </c>
      <c r="H1303" s="5">
        <f>ROUND(2100,0)</f>
        <v>2100</v>
      </c>
      <c r="I1303" s="6">
        <f>ROUND(2853,2)</f>
        <v>2853</v>
      </c>
      <c r="J1303" s="6">
        <f>ROUND(8.407077,2)</f>
        <v>8.41</v>
      </c>
      <c r="K1303" s="5">
        <f>ROUND(503693.2,0)</f>
        <v>503693</v>
      </c>
      <c r="L1303" s="7">
        <f>ROUND(0.000175054882122417,4)</f>
        <v>2.0000000000000001E-4</v>
      </c>
    </row>
    <row r="1304" spans="1:12">
      <c r="A1304" s="3" t="s">
        <v>2715</v>
      </c>
      <c r="B1304" s="4" t="s">
        <v>2716</v>
      </c>
      <c r="C1304" s="4" t="s">
        <v>406</v>
      </c>
      <c r="D1304" s="4" t="s">
        <v>1024</v>
      </c>
      <c r="E1304" s="4" t="s">
        <v>1025</v>
      </c>
      <c r="F1304" s="4" t="s">
        <v>1026</v>
      </c>
      <c r="G1304" s="4" t="s">
        <v>408</v>
      </c>
      <c r="H1304" s="5">
        <f>ROUND(1147,0)</f>
        <v>1147</v>
      </c>
      <c r="I1304" s="6">
        <f>ROUND(474.6,2)</f>
        <v>474.6</v>
      </c>
      <c r="J1304" s="6">
        <f>ROUND(0.92410673,2)</f>
        <v>0.92</v>
      </c>
      <c r="K1304" s="5">
        <f>ROUND(503052.47,0)</f>
        <v>503052</v>
      </c>
      <c r="L1304" s="7">
        <f>ROUND(0.000174832201104245,4)</f>
        <v>2.0000000000000001E-4</v>
      </c>
    </row>
    <row r="1305" spans="1:12">
      <c r="A1305" s="3" t="s">
        <v>2717</v>
      </c>
      <c r="B1305" s="4" t="s">
        <v>2718</v>
      </c>
      <c r="C1305" s="4" t="s">
        <v>534</v>
      </c>
      <c r="D1305" s="4" t="s">
        <v>423</v>
      </c>
      <c r="E1305" s="4" t="s">
        <v>25</v>
      </c>
      <c r="F1305" s="4" t="s">
        <v>16</v>
      </c>
      <c r="G1305" s="4" t="s">
        <v>408</v>
      </c>
      <c r="H1305" s="5">
        <f>ROUND(999,0)</f>
        <v>999</v>
      </c>
      <c r="I1305" s="6">
        <f>ROUND(55.22,2)</f>
        <v>55.22</v>
      </c>
      <c r="J1305" s="6">
        <f>ROUND(9.11185723,2)</f>
        <v>9.11</v>
      </c>
      <c r="K1305" s="5">
        <f>ROUND(502653.6,0)</f>
        <v>502654</v>
      </c>
      <c r="L1305" s="7">
        <f>ROUND(0.000174693576757456,4)</f>
        <v>2.0000000000000001E-4</v>
      </c>
    </row>
    <row r="1306" spans="1:12">
      <c r="A1306" s="3" t="s">
        <v>2719</v>
      </c>
      <c r="B1306" s="4" t="s">
        <v>2720</v>
      </c>
      <c r="C1306" s="4" t="s">
        <v>400</v>
      </c>
      <c r="D1306" s="4" t="s">
        <v>569</v>
      </c>
      <c r="E1306" s="4" t="s">
        <v>570</v>
      </c>
      <c r="F1306" s="4" t="s">
        <v>19</v>
      </c>
      <c r="G1306" s="4" t="s">
        <v>408</v>
      </c>
      <c r="H1306" s="5">
        <f>ROUND(3970,0)</f>
        <v>3970</v>
      </c>
      <c r="I1306" s="6">
        <f>ROUND(95.38,2)</f>
        <v>95.38</v>
      </c>
      <c r="J1306" s="6">
        <f>ROUND(1.3267035,2)</f>
        <v>1.33</v>
      </c>
      <c r="K1306" s="5">
        <f>ROUND(502367.69,0)</f>
        <v>502368</v>
      </c>
      <c r="L1306" s="7">
        <f>ROUND(0.000174594210831238,4)</f>
        <v>2.0000000000000001E-4</v>
      </c>
    </row>
    <row r="1307" spans="1:12">
      <c r="A1307" s="3" t="s">
        <v>2721</v>
      </c>
      <c r="B1307" s="4" t="s">
        <v>2722</v>
      </c>
      <c r="C1307" s="4" t="s">
        <v>400</v>
      </c>
      <c r="D1307" s="4" t="s">
        <v>514</v>
      </c>
      <c r="E1307" s="4" t="s">
        <v>515</v>
      </c>
      <c r="F1307" s="4" t="s">
        <v>190</v>
      </c>
      <c r="G1307" s="4" t="s">
        <v>408</v>
      </c>
      <c r="H1307" s="5">
        <f>ROUND(2383,0)</f>
        <v>2383</v>
      </c>
      <c r="I1307" s="6">
        <f>ROUND(30.72,2)</f>
        <v>30.72</v>
      </c>
      <c r="J1307" s="6">
        <f>ROUND(6.86237833,2)</f>
        <v>6.86</v>
      </c>
      <c r="K1307" s="5">
        <f>ROUND(502365.62,0)</f>
        <v>502366</v>
      </c>
      <c r="L1307" s="7">
        <f>ROUND(0.000174593491417901,4)</f>
        <v>2.0000000000000001E-4</v>
      </c>
    </row>
    <row r="1308" spans="1:12">
      <c r="A1308" s="3" t="s">
        <v>2723</v>
      </c>
      <c r="B1308" s="4" t="s">
        <v>2724</v>
      </c>
      <c r="C1308" s="4" t="s">
        <v>445</v>
      </c>
      <c r="D1308" s="4" t="s">
        <v>423</v>
      </c>
      <c r="E1308" s="4" t="s">
        <v>25</v>
      </c>
      <c r="F1308" s="4" t="s">
        <v>16</v>
      </c>
      <c r="G1308" s="4" t="s">
        <v>408</v>
      </c>
      <c r="H1308" s="5">
        <f>ROUND(345,0)</f>
        <v>345</v>
      </c>
      <c r="I1308" s="6">
        <f>ROUND(159.45,2)</f>
        <v>159.44999999999999</v>
      </c>
      <c r="J1308" s="6">
        <f>ROUND(9.11185723,2)</f>
        <v>9.11</v>
      </c>
      <c r="K1308" s="5">
        <f>ROUND(501245.54,0)</f>
        <v>501246</v>
      </c>
      <c r="L1308" s="7">
        <f>ROUND(0.000174204215818453,4)</f>
        <v>2.0000000000000001E-4</v>
      </c>
    </row>
    <row r="1309" spans="1:12">
      <c r="A1309" s="3" t="s">
        <v>2725</v>
      </c>
      <c r="B1309" s="4" t="s">
        <v>2726</v>
      </c>
      <c r="C1309" s="4" t="s">
        <v>389</v>
      </c>
      <c r="D1309" s="4" t="s">
        <v>486</v>
      </c>
      <c r="E1309" s="4" t="s">
        <v>30</v>
      </c>
      <c r="F1309" s="4" t="s">
        <v>20</v>
      </c>
      <c r="G1309" s="4" t="s">
        <v>408</v>
      </c>
      <c r="H1309" s="5">
        <f>ROUND(2057,0)</f>
        <v>2057</v>
      </c>
      <c r="I1309" s="6">
        <f>ROUND(2174,2)</f>
        <v>2174</v>
      </c>
      <c r="J1309" s="6">
        <f>ROUND(11.19645077,2)</f>
        <v>11.2</v>
      </c>
      <c r="K1309" s="5">
        <f>ROUND(500696.1,0)</f>
        <v>500696</v>
      </c>
      <c r="L1309" s="7">
        <f>ROUND(0.000174013261971085,4)</f>
        <v>2.0000000000000001E-4</v>
      </c>
    </row>
    <row r="1310" spans="1:12">
      <c r="A1310" s="3" t="s">
        <v>2727</v>
      </c>
      <c r="B1310" s="4" t="s">
        <v>2728</v>
      </c>
      <c r="C1310" s="4" t="s">
        <v>406</v>
      </c>
      <c r="D1310" s="4" t="s">
        <v>395</v>
      </c>
      <c r="E1310" s="4" t="s">
        <v>396</v>
      </c>
      <c r="F1310" s="4" t="s">
        <v>397</v>
      </c>
      <c r="G1310" s="4" t="s">
        <v>408</v>
      </c>
      <c r="H1310" s="5">
        <f>ROUND(28687,0)</f>
        <v>28687</v>
      </c>
      <c r="I1310" s="6">
        <f>ROUND(8,2)</f>
        <v>8</v>
      </c>
      <c r="J1310" s="6">
        <f>ROUND(2.18129969,2)</f>
        <v>2.1800000000000002</v>
      </c>
      <c r="K1310" s="5">
        <f>ROUND(500599.55,0)</f>
        <v>500600</v>
      </c>
      <c r="L1310" s="7">
        <f>ROUND(0.000173979706725811,4)</f>
        <v>2.0000000000000001E-4</v>
      </c>
    </row>
    <row r="1311" spans="1:12">
      <c r="A1311" s="3" t="s">
        <v>2729</v>
      </c>
      <c r="B1311" s="4" t="s">
        <v>2730</v>
      </c>
      <c r="C1311" s="4" t="s">
        <v>430</v>
      </c>
      <c r="D1311" s="4" t="s">
        <v>655</v>
      </c>
      <c r="E1311" s="4" t="s">
        <v>656</v>
      </c>
      <c r="F1311" s="4" t="s">
        <v>26</v>
      </c>
      <c r="G1311" s="4" t="s">
        <v>408</v>
      </c>
      <c r="H1311" s="5">
        <f>ROUND(46000,0)</f>
        <v>46000</v>
      </c>
      <c r="I1311" s="6">
        <f>ROUND(9.37,2)</f>
        <v>9.3699999999999992</v>
      </c>
      <c r="J1311" s="6">
        <f>ROUND(1.15901246,2)</f>
        <v>1.1599999999999999</v>
      </c>
      <c r="K1311" s="5">
        <f>ROUND(499557.55,0)</f>
        <v>499558</v>
      </c>
      <c r="L1311" s="7">
        <f>ROUND(0.000173617567258429,4)</f>
        <v>2.0000000000000001E-4</v>
      </c>
    </row>
    <row r="1312" spans="1:12">
      <c r="A1312" s="3" t="s">
        <v>2731</v>
      </c>
      <c r="B1312" s="4" t="s">
        <v>2732</v>
      </c>
      <c r="C1312" s="4" t="s">
        <v>545</v>
      </c>
      <c r="D1312" s="4" t="s">
        <v>407</v>
      </c>
      <c r="E1312" s="4" t="s">
        <v>35</v>
      </c>
      <c r="F1312" s="4" t="s">
        <v>21</v>
      </c>
      <c r="G1312" s="4" t="s">
        <v>408</v>
      </c>
      <c r="H1312" s="5">
        <f>ROUND(518,0)</f>
        <v>518</v>
      </c>
      <c r="I1312" s="6">
        <f>ROUND(106.1,2)</f>
        <v>106.1</v>
      </c>
      <c r="J1312" s="6">
        <f>ROUND(9.08595,2)</f>
        <v>9.09</v>
      </c>
      <c r="K1312" s="5">
        <f>ROUND(499361.99,0)</f>
        <v>499362</v>
      </c>
      <c r="L1312" s="7">
        <f>ROUND(0.0001735496018129,4)</f>
        <v>2.0000000000000001E-4</v>
      </c>
    </row>
    <row r="1313" spans="1:12">
      <c r="A1313" s="3" t="s">
        <v>2733</v>
      </c>
      <c r="B1313" s="4" t="s">
        <v>2734</v>
      </c>
      <c r="C1313" s="4" t="s">
        <v>545</v>
      </c>
      <c r="D1313" s="4" t="s">
        <v>655</v>
      </c>
      <c r="E1313" s="4" t="s">
        <v>656</v>
      </c>
      <c r="F1313" s="4" t="s">
        <v>26</v>
      </c>
      <c r="G1313" s="4" t="s">
        <v>408</v>
      </c>
      <c r="H1313" s="5">
        <f>ROUND(165000,0)</f>
        <v>165000</v>
      </c>
      <c r="I1313" s="6">
        <f>ROUND(2.6,2)</f>
        <v>2.6</v>
      </c>
      <c r="J1313" s="6">
        <f>ROUND(1.15901246,2)</f>
        <v>1.1599999999999999</v>
      </c>
      <c r="K1313" s="5">
        <f>ROUND(497216.35,0)</f>
        <v>497216</v>
      </c>
      <c r="L1313" s="7">
        <f>ROUND(0.000172803900347649,4)</f>
        <v>2.0000000000000001E-4</v>
      </c>
    </row>
    <row r="1314" spans="1:12">
      <c r="A1314" s="3" t="s">
        <v>2735</v>
      </c>
      <c r="B1314" s="4" t="s">
        <v>2736</v>
      </c>
      <c r="C1314" s="4" t="s">
        <v>422</v>
      </c>
      <c r="D1314" s="4" t="s">
        <v>390</v>
      </c>
      <c r="E1314" s="4" t="s">
        <v>391</v>
      </c>
      <c r="F1314" s="4" t="s">
        <v>72</v>
      </c>
      <c r="G1314" s="4" t="s">
        <v>408</v>
      </c>
      <c r="H1314" s="5">
        <f>ROUND(5245,0)</f>
        <v>5245</v>
      </c>
      <c r="I1314" s="6">
        <f>ROUND(15.4,2)</f>
        <v>15.4</v>
      </c>
      <c r="J1314" s="6">
        <f>ROUND(6.12812423,2)</f>
        <v>6.13</v>
      </c>
      <c r="K1314" s="5">
        <f>ROUND(494986.98,0)</f>
        <v>494987</v>
      </c>
      <c r="L1314" s="7">
        <f>ROUND(0.000172029099134217,4)</f>
        <v>2.0000000000000001E-4</v>
      </c>
    </row>
    <row r="1315" spans="1:12">
      <c r="A1315" s="3" t="s">
        <v>2737</v>
      </c>
      <c r="B1315" s="4" t="s">
        <v>2738</v>
      </c>
      <c r="C1315" s="4" t="s">
        <v>445</v>
      </c>
      <c r="D1315" s="4" t="s">
        <v>407</v>
      </c>
      <c r="E1315" s="4" t="s">
        <v>35</v>
      </c>
      <c r="F1315" s="4" t="s">
        <v>21</v>
      </c>
      <c r="G1315" s="4" t="s">
        <v>408</v>
      </c>
      <c r="H1315" s="5">
        <f>ROUND(720,0)</f>
        <v>720</v>
      </c>
      <c r="I1315" s="6">
        <f>ROUND(75.32,2)</f>
        <v>75.319999999999993</v>
      </c>
      <c r="J1315" s="6">
        <f>ROUND(9.08595,2)</f>
        <v>9.09</v>
      </c>
      <c r="K1315" s="5">
        <f>ROUND(492734.7,0)</f>
        <v>492735</v>
      </c>
      <c r="L1315" s="7">
        <f>ROUND(0.000171246335718101,4)</f>
        <v>2.0000000000000001E-4</v>
      </c>
    </row>
    <row r="1316" spans="1:12">
      <c r="A1316" s="3" t="s">
        <v>2739</v>
      </c>
      <c r="B1316" s="4" t="s">
        <v>2740</v>
      </c>
      <c r="C1316" s="4" t="s">
        <v>534</v>
      </c>
      <c r="D1316" s="4" t="s">
        <v>520</v>
      </c>
      <c r="E1316" s="4" t="s">
        <v>521</v>
      </c>
      <c r="F1316" s="4" t="s">
        <v>18</v>
      </c>
      <c r="G1316" s="4" t="s">
        <v>408</v>
      </c>
      <c r="H1316" s="5">
        <f>ROUND(3606,0)</f>
        <v>3606</v>
      </c>
      <c r="I1316" s="6">
        <f>ROUND(13.78,2)</f>
        <v>13.78</v>
      </c>
      <c r="J1316" s="6">
        <f>ROUND(9.9055,2)</f>
        <v>9.91</v>
      </c>
      <c r="K1316" s="5">
        <f>ROUND(492211.03,0)</f>
        <v>492211</v>
      </c>
      <c r="L1316" s="7">
        <f>ROUND(0.000171064338045468,4)</f>
        <v>2.0000000000000001E-4</v>
      </c>
    </row>
    <row r="1317" spans="1:12">
      <c r="A1317" s="3" t="s">
        <v>2741</v>
      </c>
      <c r="B1317" s="4" t="s">
        <v>2742</v>
      </c>
      <c r="C1317" s="4" t="s">
        <v>493</v>
      </c>
      <c r="D1317" s="4" t="s">
        <v>1217</v>
      </c>
      <c r="E1317" s="4" t="s">
        <v>1218</v>
      </c>
      <c r="F1317" s="4" t="s">
        <v>26</v>
      </c>
      <c r="G1317" s="4" t="s">
        <v>408</v>
      </c>
      <c r="H1317" s="5">
        <f>ROUND(14000,0)</f>
        <v>14000</v>
      </c>
      <c r="I1317" s="6">
        <f>ROUND(30.3,2)</f>
        <v>30.3</v>
      </c>
      <c r="J1317" s="6">
        <f>ROUND(1.15901246,2)</f>
        <v>1.1599999999999999</v>
      </c>
      <c r="K1317" s="5">
        <f>ROUND(491653.09,0)</f>
        <v>491653</v>
      </c>
      <c r="L1317" s="7">
        <f>ROUND(0.000170870430085362,4)</f>
        <v>2.0000000000000001E-4</v>
      </c>
    </row>
    <row r="1318" spans="1:12">
      <c r="A1318" s="3" t="s">
        <v>2743</v>
      </c>
      <c r="B1318" s="4" t="s">
        <v>2744</v>
      </c>
      <c r="C1318" s="4" t="s">
        <v>445</v>
      </c>
      <c r="D1318" s="4" t="s">
        <v>407</v>
      </c>
      <c r="E1318" s="4" t="s">
        <v>35</v>
      </c>
      <c r="F1318" s="4" t="s">
        <v>21</v>
      </c>
      <c r="G1318" s="4" t="s">
        <v>408</v>
      </c>
      <c r="H1318" s="5">
        <f>ROUND(672,0)</f>
        <v>672</v>
      </c>
      <c r="I1318" s="6">
        <f>ROUND(80.42,2)</f>
        <v>80.42</v>
      </c>
      <c r="J1318" s="6">
        <f>ROUND(9.08595,2)</f>
        <v>9.09</v>
      </c>
      <c r="K1318" s="5">
        <f>ROUND(491025.09,0)</f>
        <v>491025</v>
      </c>
      <c r="L1318" s="7">
        <f>ROUND(0.000170652173285443,4)</f>
        <v>2.0000000000000001E-4</v>
      </c>
    </row>
    <row r="1319" spans="1:12">
      <c r="A1319" s="3" t="s">
        <v>2745</v>
      </c>
      <c r="B1319" s="4" t="s">
        <v>2746</v>
      </c>
      <c r="C1319" s="4" t="s">
        <v>545</v>
      </c>
      <c r="D1319" s="4" t="s">
        <v>489</v>
      </c>
      <c r="E1319" s="4" t="s">
        <v>490</v>
      </c>
      <c r="F1319" s="4" t="s">
        <v>45</v>
      </c>
      <c r="G1319" s="4" t="s">
        <v>408</v>
      </c>
      <c r="H1319" s="5">
        <f>ROUND(12000,0)</f>
        <v>12000</v>
      </c>
      <c r="I1319" s="6">
        <f>ROUND(485,2)</f>
        <v>485</v>
      </c>
      <c r="J1319" s="6">
        <f>ROUND(8.407077,2)</f>
        <v>8.41</v>
      </c>
      <c r="K1319" s="5">
        <f>ROUND(489291.88,0)</f>
        <v>489292</v>
      </c>
      <c r="L1319" s="7">
        <f>ROUND(0.000170049808845654,4)</f>
        <v>2.0000000000000001E-4</v>
      </c>
    </row>
    <row r="1320" spans="1:12">
      <c r="A1320" s="3" t="s">
        <v>2747</v>
      </c>
      <c r="B1320" s="4" t="s">
        <v>2748</v>
      </c>
      <c r="C1320" s="4" t="s">
        <v>422</v>
      </c>
      <c r="D1320" s="4" t="s">
        <v>1119</v>
      </c>
      <c r="E1320" s="4" t="s">
        <v>1120</v>
      </c>
      <c r="F1320" s="4" t="s">
        <v>95</v>
      </c>
      <c r="G1320" s="4" t="s">
        <v>408</v>
      </c>
      <c r="H1320" s="5">
        <f>ROUND(5233,0)</f>
        <v>5233</v>
      </c>
      <c r="I1320" s="6">
        <f>ROUND(201.94,2)</f>
        <v>201.94</v>
      </c>
      <c r="J1320" s="6">
        <f>ROUND(0.4601869,2)</f>
        <v>0.46</v>
      </c>
      <c r="K1320" s="5">
        <f>ROUND(486303.44,0)</f>
        <v>486303</v>
      </c>
      <c r="L1320" s="7">
        <f>ROUND(0.000169011198413888,4)</f>
        <v>2.0000000000000001E-4</v>
      </c>
    </row>
    <row r="1321" spans="1:12">
      <c r="A1321" s="3" t="s">
        <v>2749</v>
      </c>
      <c r="B1321" s="4" t="s">
        <v>2750</v>
      </c>
      <c r="C1321" s="4" t="s">
        <v>534</v>
      </c>
      <c r="D1321" s="4" t="s">
        <v>739</v>
      </c>
      <c r="E1321" s="4" t="s">
        <v>740</v>
      </c>
      <c r="F1321" s="4" t="s">
        <v>741</v>
      </c>
      <c r="G1321" s="4" t="s">
        <v>408</v>
      </c>
      <c r="H1321" s="5">
        <f>ROUND(183,0)</f>
        <v>183</v>
      </c>
      <c r="I1321" s="6">
        <f>ROUND(349500,2)</f>
        <v>349500</v>
      </c>
      <c r="J1321" s="6">
        <f>ROUND(0.00759599,2)</f>
        <v>0.01</v>
      </c>
      <c r="K1321" s="5">
        <f>ROUND(485828.13,0)</f>
        <v>485828</v>
      </c>
      <c r="L1321" s="7">
        <f>ROUND(0.000168846007905019,4)</f>
        <v>2.0000000000000001E-4</v>
      </c>
    </row>
    <row r="1322" spans="1:12">
      <c r="A1322" s="3" t="s">
        <v>2751</v>
      </c>
      <c r="B1322" s="4" t="s">
        <v>2752</v>
      </c>
      <c r="C1322" s="4" t="s">
        <v>400</v>
      </c>
      <c r="D1322" s="4" t="s">
        <v>486</v>
      </c>
      <c r="E1322" s="4" t="s">
        <v>30</v>
      </c>
      <c r="F1322" s="4" t="s">
        <v>20</v>
      </c>
      <c r="G1322" s="4" t="s">
        <v>408</v>
      </c>
      <c r="H1322" s="5">
        <f>ROUND(15150,0)</f>
        <v>15150</v>
      </c>
      <c r="I1322" s="6">
        <f>ROUND(285.8,2)</f>
        <v>285.8</v>
      </c>
      <c r="J1322" s="6">
        <f>ROUND(11.19645077,2)</f>
        <v>11.2</v>
      </c>
      <c r="K1322" s="5">
        <f>ROUND(484791.76,0)</f>
        <v>484792</v>
      </c>
      <c r="L1322" s="7">
        <f>ROUND(0.000168485825102898,4)</f>
        <v>2.0000000000000001E-4</v>
      </c>
    </row>
    <row r="1323" spans="1:12">
      <c r="A1323" s="3" t="s">
        <v>2753</v>
      </c>
      <c r="B1323" s="4" t="s">
        <v>2754</v>
      </c>
      <c r="C1323" s="4" t="s">
        <v>422</v>
      </c>
      <c r="D1323" s="4" t="s">
        <v>489</v>
      </c>
      <c r="E1323" s="4" t="s">
        <v>490</v>
      </c>
      <c r="F1323" s="4" t="s">
        <v>45</v>
      </c>
      <c r="G1323" s="4" t="s">
        <v>408</v>
      </c>
      <c r="H1323" s="5">
        <f>ROUND(700,0)</f>
        <v>700</v>
      </c>
      <c r="I1323" s="6">
        <f>ROUND(8220,2)</f>
        <v>8220</v>
      </c>
      <c r="J1323" s="6">
        <f>ROUND(8.407077,2)</f>
        <v>8.41</v>
      </c>
      <c r="K1323" s="5">
        <f>ROUND(483743.21,0)</f>
        <v>483743</v>
      </c>
      <c r="L1323" s="7">
        <f>ROUND(0.000168121409230996,4)</f>
        <v>2.0000000000000001E-4</v>
      </c>
    </row>
    <row r="1324" spans="1:12">
      <c r="A1324" s="3" t="s">
        <v>2755</v>
      </c>
      <c r="B1324" s="4" t="s">
        <v>2756</v>
      </c>
      <c r="C1324" s="4" t="s">
        <v>400</v>
      </c>
      <c r="D1324" s="4" t="s">
        <v>407</v>
      </c>
      <c r="E1324" s="4" t="s">
        <v>35</v>
      </c>
      <c r="F1324" s="4" t="s">
        <v>21</v>
      </c>
      <c r="G1324" s="4" t="s">
        <v>408</v>
      </c>
      <c r="H1324" s="5">
        <f>ROUND(1218,0)</f>
        <v>1218</v>
      </c>
      <c r="I1324" s="6">
        <f>ROUND(43.69,2)</f>
        <v>43.69</v>
      </c>
      <c r="J1324" s="6">
        <f>ROUND(9.08595,2)</f>
        <v>9.09</v>
      </c>
      <c r="K1324" s="5">
        <f>ROUND(483503.56,0)</f>
        <v>483504</v>
      </c>
      <c r="L1324" s="7">
        <f>ROUND(0.000168038120628925,4)</f>
        <v>2.0000000000000001E-4</v>
      </c>
    </row>
    <row r="1325" spans="1:12">
      <c r="A1325" s="3" t="s">
        <v>2757</v>
      </c>
      <c r="B1325" s="4" t="s">
        <v>2758</v>
      </c>
      <c r="C1325" s="4" t="s">
        <v>545</v>
      </c>
      <c r="D1325" s="4" t="s">
        <v>2447</v>
      </c>
      <c r="E1325" s="4" t="s">
        <v>2448</v>
      </c>
      <c r="F1325" s="4" t="s">
        <v>250</v>
      </c>
      <c r="G1325" s="4" t="s">
        <v>408</v>
      </c>
      <c r="H1325" s="5">
        <f>ROUND(2661,0)</f>
        <v>2661</v>
      </c>
      <c r="I1325" s="6">
        <f>ROUND(80,2)</f>
        <v>80</v>
      </c>
      <c r="J1325" s="6">
        <f>ROUND(2.26631585,2)</f>
        <v>2.27</v>
      </c>
      <c r="K1325" s="5">
        <f>ROUND(482453.32,0)</f>
        <v>482453</v>
      </c>
      <c r="L1325" s="7">
        <f>ROUND(0.000167673117409901,4)</f>
        <v>2.0000000000000001E-4</v>
      </c>
    </row>
    <row r="1326" spans="1:12">
      <c r="A1326" s="3" t="s">
        <v>2759</v>
      </c>
      <c r="B1326" s="4" t="s">
        <v>2760</v>
      </c>
      <c r="C1326" s="4" t="s">
        <v>545</v>
      </c>
      <c r="D1326" s="4" t="s">
        <v>489</v>
      </c>
      <c r="E1326" s="4" t="s">
        <v>490</v>
      </c>
      <c r="F1326" s="4" t="s">
        <v>45</v>
      </c>
      <c r="G1326" s="4" t="s">
        <v>408</v>
      </c>
      <c r="H1326" s="5">
        <f>ROUND(1100,0)</f>
        <v>1100</v>
      </c>
      <c r="I1326" s="6">
        <f>ROUND(5204,2)</f>
        <v>5204</v>
      </c>
      <c r="J1326" s="6">
        <f>ROUND(8.407077,2)</f>
        <v>8.41</v>
      </c>
      <c r="K1326" s="5">
        <f>ROUND(481254.72,0)</f>
        <v>481255</v>
      </c>
      <c r="L1326" s="7">
        <f>ROUND(0.00016725655275961,4)</f>
        <v>2.0000000000000001E-4</v>
      </c>
    </row>
    <row r="1327" spans="1:12">
      <c r="A1327" s="3" t="s">
        <v>2761</v>
      </c>
      <c r="B1327" s="4" t="s">
        <v>2762</v>
      </c>
      <c r="C1327" s="4" t="s">
        <v>400</v>
      </c>
      <c r="D1327" s="4" t="s">
        <v>514</v>
      </c>
      <c r="E1327" s="4" t="s">
        <v>515</v>
      </c>
      <c r="F1327" s="4" t="s">
        <v>190</v>
      </c>
      <c r="G1327" s="4" t="s">
        <v>408</v>
      </c>
      <c r="H1327" s="5">
        <f>ROUND(2200,0)</f>
        <v>2200</v>
      </c>
      <c r="I1327" s="6">
        <f>ROUND(31.81,2)</f>
        <v>31.81</v>
      </c>
      <c r="J1327" s="6">
        <f>ROUND(6.86237833,2)</f>
        <v>6.86</v>
      </c>
      <c r="K1327" s="5">
        <f>ROUND(480242.96,0)</f>
        <v>480243</v>
      </c>
      <c r="L1327" s="7">
        <f>ROUND(0.000166904922982722,4)</f>
        <v>2.0000000000000001E-4</v>
      </c>
    </row>
    <row r="1328" spans="1:12">
      <c r="A1328" s="3" t="s">
        <v>2763</v>
      </c>
      <c r="B1328" s="4" t="s">
        <v>2764</v>
      </c>
      <c r="C1328" s="4" t="s">
        <v>422</v>
      </c>
      <c r="D1328" s="4" t="s">
        <v>456</v>
      </c>
      <c r="E1328" s="4" t="s">
        <v>457</v>
      </c>
      <c r="F1328" s="4" t="s">
        <v>26</v>
      </c>
      <c r="G1328" s="4" t="s">
        <v>408</v>
      </c>
      <c r="H1328" s="5">
        <f>ROUND(59000,0)</f>
        <v>59000</v>
      </c>
      <c r="I1328" s="6">
        <f>ROUND(7.02,2)</f>
        <v>7.02</v>
      </c>
      <c r="J1328" s="6">
        <f>ROUND(1.15901246,2)</f>
        <v>1.1599999999999999</v>
      </c>
      <c r="K1328" s="5">
        <f>ROUND(480039.78,0)</f>
        <v>480040</v>
      </c>
      <c r="L1328" s="7">
        <f>ROUND(0.000166834309262009,4)</f>
        <v>2.0000000000000001E-4</v>
      </c>
    </row>
    <row r="1329" spans="1:12">
      <c r="A1329" s="3" t="s">
        <v>2765</v>
      </c>
      <c r="B1329" s="4" t="s">
        <v>2766</v>
      </c>
      <c r="C1329" s="4" t="s">
        <v>430</v>
      </c>
      <c r="D1329" s="4" t="s">
        <v>407</v>
      </c>
      <c r="E1329" s="4" t="s">
        <v>35</v>
      </c>
      <c r="F1329" s="4" t="s">
        <v>21</v>
      </c>
      <c r="G1329" s="4" t="s">
        <v>408</v>
      </c>
      <c r="H1329" s="5">
        <f>ROUND(2349,0)</f>
        <v>2349</v>
      </c>
      <c r="I1329" s="6">
        <f>ROUND(22.46,2)</f>
        <v>22.46</v>
      </c>
      <c r="J1329" s="6">
        <f>ROUND(9.08595,2)</f>
        <v>9.09</v>
      </c>
      <c r="K1329" s="5">
        <f>ROUND(479361.46,0)</f>
        <v>479361</v>
      </c>
      <c r="L1329" s="7">
        <f>ROUND(0.000166598564114683,4)</f>
        <v>2.0000000000000001E-4</v>
      </c>
    </row>
    <row r="1330" spans="1:12">
      <c r="A1330" s="3" t="s">
        <v>2767</v>
      </c>
      <c r="B1330" s="4" t="s">
        <v>2768</v>
      </c>
      <c r="C1330" s="4" t="s">
        <v>389</v>
      </c>
      <c r="D1330" s="4" t="s">
        <v>407</v>
      </c>
      <c r="E1330" s="4" t="s">
        <v>35</v>
      </c>
      <c r="F1330" s="4" t="s">
        <v>21</v>
      </c>
      <c r="G1330" s="4" t="s">
        <v>408</v>
      </c>
      <c r="H1330" s="5">
        <f>ROUND(668,0)</f>
        <v>668</v>
      </c>
      <c r="I1330" s="6">
        <f>ROUND(78.88,2)</f>
        <v>78.88</v>
      </c>
      <c r="J1330" s="6">
        <f>ROUND(9.08595,2)</f>
        <v>9.09</v>
      </c>
      <c r="K1330" s="5">
        <f>ROUND(478755.42,0)</f>
        <v>478755</v>
      </c>
      <c r="L1330" s="7">
        <f>ROUND(0.000166387939351908,4)</f>
        <v>2.0000000000000001E-4</v>
      </c>
    </row>
    <row r="1331" spans="1:12">
      <c r="A1331" s="3" t="s">
        <v>2769</v>
      </c>
      <c r="B1331" s="4" t="s">
        <v>2770</v>
      </c>
      <c r="C1331" s="4" t="s">
        <v>493</v>
      </c>
      <c r="D1331" s="4" t="s">
        <v>486</v>
      </c>
      <c r="E1331" s="4" t="s">
        <v>30</v>
      </c>
      <c r="F1331" s="4" t="s">
        <v>20</v>
      </c>
      <c r="G1331" s="4" t="s">
        <v>408</v>
      </c>
      <c r="H1331" s="5">
        <f>ROUND(5172,0)</f>
        <v>5172</v>
      </c>
      <c r="I1331" s="6">
        <f>ROUND(825.8,2)</f>
        <v>825.8</v>
      </c>
      <c r="J1331" s="6">
        <f>ROUND(11.19645077,2)</f>
        <v>11.2</v>
      </c>
      <c r="K1331" s="5">
        <f>ROUND(478204.67,0)</f>
        <v>478205</v>
      </c>
      <c r="L1331" s="7">
        <f>ROUND(0.000166196530223635,4)</f>
        <v>2.0000000000000001E-4</v>
      </c>
    </row>
    <row r="1332" spans="1:12">
      <c r="A1332" s="3" t="s">
        <v>2771</v>
      </c>
      <c r="B1332" s="4" t="s">
        <v>2772</v>
      </c>
      <c r="C1332" s="4" t="s">
        <v>389</v>
      </c>
      <c r="D1332" s="4" t="s">
        <v>520</v>
      </c>
      <c r="E1332" s="4" t="s">
        <v>521</v>
      </c>
      <c r="F1332" s="4" t="s">
        <v>18</v>
      </c>
      <c r="G1332" s="4" t="s">
        <v>408</v>
      </c>
      <c r="H1332" s="5">
        <f>ROUND(1250,0)</f>
        <v>1250</v>
      </c>
      <c r="I1332" s="6">
        <f>ROUND(38.25,2)</f>
        <v>38.25</v>
      </c>
      <c r="J1332" s="6">
        <f>ROUND(9.9055,2)</f>
        <v>9.91</v>
      </c>
      <c r="K1332" s="5">
        <f>ROUND(473606.72,0)</f>
        <v>473607</v>
      </c>
      <c r="L1332" s="7">
        <f>ROUND(0.000164598546380981,4)</f>
        <v>2.0000000000000001E-4</v>
      </c>
    </row>
    <row r="1333" spans="1:12">
      <c r="A1333" s="3" t="s">
        <v>2773</v>
      </c>
      <c r="B1333" s="4" t="s">
        <v>2774</v>
      </c>
      <c r="C1333" s="4" t="s">
        <v>422</v>
      </c>
      <c r="D1333" s="4" t="s">
        <v>489</v>
      </c>
      <c r="E1333" s="4" t="s">
        <v>490</v>
      </c>
      <c r="F1333" s="4" t="s">
        <v>45</v>
      </c>
      <c r="G1333" s="4" t="s">
        <v>408</v>
      </c>
      <c r="H1333" s="5">
        <f>ROUND(1300,0)</f>
        <v>1300</v>
      </c>
      <c r="I1333" s="6">
        <f>ROUND(4330,2)</f>
        <v>4330</v>
      </c>
      <c r="J1333" s="6">
        <f>ROUND(8.407077,2)</f>
        <v>8.41</v>
      </c>
      <c r="K1333" s="5">
        <f>ROUND(473234.36,0)</f>
        <v>473234</v>
      </c>
      <c r="L1333" s="7">
        <f>ROUND(0.000164469135390507,4)</f>
        <v>2.0000000000000001E-4</v>
      </c>
    </row>
    <row r="1334" spans="1:12">
      <c r="A1334" s="3" t="s">
        <v>2775</v>
      </c>
      <c r="B1334" s="4" t="s">
        <v>2776</v>
      </c>
      <c r="C1334" s="4" t="s">
        <v>445</v>
      </c>
      <c r="D1334" s="4" t="s">
        <v>407</v>
      </c>
      <c r="E1334" s="4" t="s">
        <v>35</v>
      </c>
      <c r="F1334" s="4" t="s">
        <v>21</v>
      </c>
      <c r="G1334" s="4" t="s">
        <v>408</v>
      </c>
      <c r="H1334" s="5">
        <f>ROUND(1949,0)</f>
        <v>1949</v>
      </c>
      <c r="I1334" s="6">
        <f>ROUND(26.59,2)</f>
        <v>26.59</v>
      </c>
      <c r="J1334" s="6">
        <f>ROUND(9.08595,2)</f>
        <v>9.09</v>
      </c>
      <c r="K1334" s="5">
        <f>ROUND(470869.46,0)</f>
        <v>470869</v>
      </c>
      <c r="L1334" s="7">
        <f>ROUND(0.000163647231718328,4)</f>
        <v>2.0000000000000001E-4</v>
      </c>
    </row>
    <row r="1335" spans="1:12">
      <c r="A1335" s="3" t="s">
        <v>2777</v>
      </c>
      <c r="B1335" s="4" t="s">
        <v>2778</v>
      </c>
      <c r="C1335" s="4" t="s">
        <v>493</v>
      </c>
      <c r="D1335" s="4" t="s">
        <v>456</v>
      </c>
      <c r="E1335" s="4" t="s">
        <v>457</v>
      </c>
      <c r="F1335" s="4" t="s">
        <v>26</v>
      </c>
      <c r="G1335" s="4" t="s">
        <v>408</v>
      </c>
      <c r="H1335" s="5">
        <f>ROUND(5000,0)</f>
        <v>5000</v>
      </c>
      <c r="I1335" s="6">
        <f>ROUND(81.1,2)</f>
        <v>81.099999999999994</v>
      </c>
      <c r="J1335" s="6">
        <f>ROUND(1.15901246,2)</f>
        <v>1.1599999999999999</v>
      </c>
      <c r="K1335" s="5">
        <f>ROUND(469979.55,0)</f>
        <v>469980</v>
      </c>
      <c r="L1335" s="7">
        <f>ROUND(0.000163337950016392,4)</f>
        <v>2.0000000000000001E-4</v>
      </c>
    </row>
    <row r="1336" spans="1:12">
      <c r="A1336" s="3" t="s">
        <v>2779</v>
      </c>
      <c r="B1336" s="4" t="s">
        <v>2780</v>
      </c>
      <c r="C1336" s="4" t="s">
        <v>415</v>
      </c>
      <c r="D1336" s="4" t="s">
        <v>486</v>
      </c>
      <c r="E1336" s="4" t="s">
        <v>30</v>
      </c>
      <c r="F1336" s="4" t="s">
        <v>21</v>
      </c>
      <c r="G1336" s="4" t="s">
        <v>408</v>
      </c>
      <c r="H1336" s="5">
        <f>ROUND(2160,0)</f>
        <v>2160</v>
      </c>
      <c r="I1336" s="6">
        <f>ROUND(23.79,2)</f>
        <v>23.79</v>
      </c>
      <c r="J1336" s="6">
        <f>ROUND(9.08595,2)</f>
        <v>9.09</v>
      </c>
      <c r="K1336" s="5">
        <f>ROUND(466894.26,0)</f>
        <v>466894</v>
      </c>
      <c r="L1336" s="7">
        <f>ROUND(0.000162265680076549,4)</f>
        <v>2.0000000000000001E-4</v>
      </c>
    </row>
    <row r="1337" spans="1:12">
      <c r="A1337" s="3" t="s">
        <v>2781</v>
      </c>
      <c r="B1337" s="4" t="s">
        <v>2782</v>
      </c>
      <c r="C1337" s="4" t="s">
        <v>389</v>
      </c>
      <c r="D1337" s="4" t="s">
        <v>486</v>
      </c>
      <c r="E1337" s="4" t="s">
        <v>30</v>
      </c>
      <c r="F1337" s="4" t="s">
        <v>20</v>
      </c>
      <c r="G1337" s="4" t="s">
        <v>408</v>
      </c>
      <c r="H1337" s="5">
        <f>ROUND(967,0)</f>
        <v>967</v>
      </c>
      <c r="I1337" s="6">
        <f>ROUND(4294,2)</f>
        <v>4294</v>
      </c>
      <c r="J1337" s="6">
        <f>ROUND(11.19645077,2)</f>
        <v>11.2</v>
      </c>
      <c r="K1337" s="5">
        <f>ROUND(464910,0)</f>
        <v>464910</v>
      </c>
      <c r="L1337" s="7">
        <f>ROUND(0.000161576065048194,4)</f>
        <v>2.0000000000000001E-4</v>
      </c>
    </row>
    <row r="1338" spans="1:12">
      <c r="A1338" s="3" t="s">
        <v>2783</v>
      </c>
      <c r="B1338" s="4" t="s">
        <v>2784</v>
      </c>
      <c r="C1338" s="4" t="s">
        <v>400</v>
      </c>
      <c r="D1338" s="4" t="s">
        <v>489</v>
      </c>
      <c r="E1338" s="4" t="s">
        <v>490</v>
      </c>
      <c r="F1338" s="4" t="s">
        <v>45</v>
      </c>
      <c r="G1338" s="4" t="s">
        <v>408</v>
      </c>
      <c r="H1338" s="5">
        <f>ROUND(3500,0)</f>
        <v>3500</v>
      </c>
      <c r="I1338" s="6">
        <f>ROUND(1574,2)</f>
        <v>1574</v>
      </c>
      <c r="J1338" s="6">
        <f>ROUND(8.407077,2)</f>
        <v>8.41</v>
      </c>
      <c r="K1338" s="5">
        <f>ROUND(463145.87,0)</f>
        <v>463146</v>
      </c>
      <c r="L1338" s="7">
        <f>ROUND(0.000160962954588893,4)</f>
        <v>2.0000000000000001E-4</v>
      </c>
    </row>
    <row r="1339" spans="1:12">
      <c r="A1339" s="3" t="s">
        <v>2785</v>
      </c>
      <c r="B1339" s="4" t="s">
        <v>2786</v>
      </c>
      <c r="C1339" s="4" t="s">
        <v>545</v>
      </c>
      <c r="D1339" s="4" t="s">
        <v>390</v>
      </c>
      <c r="E1339" s="4" t="s">
        <v>391</v>
      </c>
      <c r="F1339" s="4" t="s">
        <v>72</v>
      </c>
      <c r="G1339" s="4" t="s">
        <v>408</v>
      </c>
      <c r="H1339" s="5">
        <f>ROUND(3349,0)</f>
        <v>3349</v>
      </c>
      <c r="I1339" s="6">
        <f>ROUND(22.54,2)</f>
        <v>22.54</v>
      </c>
      <c r="J1339" s="6">
        <f>ROUND(6.12812423,2)</f>
        <v>6.13</v>
      </c>
      <c r="K1339" s="5">
        <f>ROUND(462590.4,0)</f>
        <v>462590</v>
      </c>
      <c r="L1339" s="7">
        <f>ROUND(0.000160769905059194,4)</f>
        <v>2.0000000000000001E-4</v>
      </c>
    </row>
    <row r="1340" spans="1:12">
      <c r="A1340" s="3" t="s">
        <v>2787</v>
      </c>
      <c r="B1340" s="4" t="s">
        <v>2788</v>
      </c>
      <c r="C1340" s="4" t="s">
        <v>406</v>
      </c>
      <c r="D1340" s="4" t="s">
        <v>401</v>
      </c>
      <c r="E1340" s="4" t="s">
        <v>402</v>
      </c>
      <c r="F1340" s="4" t="s">
        <v>403</v>
      </c>
      <c r="G1340" s="4" t="s">
        <v>408</v>
      </c>
      <c r="H1340" s="5">
        <f>ROUND(6396,0)</f>
        <v>6396</v>
      </c>
      <c r="I1340" s="6">
        <f>ROUND(246.5,2)</f>
        <v>246.5</v>
      </c>
      <c r="J1340" s="6">
        <f>ROUND(0.29286371,2)</f>
        <v>0.28999999999999998</v>
      </c>
      <c r="K1340" s="5">
        <f>ROUND(461733.03,0)</f>
        <v>461733</v>
      </c>
      <c r="L1340" s="7">
        <f>ROUND(0.000160471932395904,4)</f>
        <v>2.0000000000000001E-4</v>
      </c>
    </row>
    <row r="1341" spans="1:12">
      <c r="A1341" s="3" t="s">
        <v>2789</v>
      </c>
      <c r="B1341" s="4" t="s">
        <v>2790</v>
      </c>
      <c r="C1341" s="4" t="s">
        <v>493</v>
      </c>
      <c r="D1341" s="4" t="s">
        <v>486</v>
      </c>
      <c r="E1341" s="4" t="s">
        <v>30</v>
      </c>
      <c r="F1341" s="4" t="s">
        <v>20</v>
      </c>
      <c r="G1341" s="4" t="s">
        <v>408</v>
      </c>
      <c r="H1341" s="5">
        <f>ROUND(55856,0)</f>
        <v>55856</v>
      </c>
      <c r="I1341" s="6">
        <f>ROUND(73.74,2)</f>
        <v>73.739999999999995</v>
      </c>
      <c r="J1341" s="6">
        <f>ROUND(11.19645077,2)</f>
        <v>11.2</v>
      </c>
      <c r="K1341" s="5">
        <f>ROUND(461161.77,0)</f>
        <v>461162</v>
      </c>
      <c r="L1341" s="7">
        <f>ROUND(0.000160273395167366,4)</f>
        <v>2.0000000000000001E-4</v>
      </c>
    </row>
    <row r="1342" spans="1:12">
      <c r="A1342" s="3" t="s">
        <v>2791</v>
      </c>
      <c r="B1342" s="4" t="s">
        <v>2792</v>
      </c>
      <c r="C1342" s="4" t="s">
        <v>493</v>
      </c>
      <c r="D1342" s="4" t="s">
        <v>520</v>
      </c>
      <c r="E1342" s="4" t="s">
        <v>521</v>
      </c>
      <c r="F1342" s="4" t="s">
        <v>18</v>
      </c>
      <c r="G1342" s="4" t="s">
        <v>408</v>
      </c>
      <c r="H1342" s="5">
        <f>ROUND(3222,0)</f>
        <v>3222</v>
      </c>
      <c r="I1342" s="6">
        <f>ROUND(14.425,2)</f>
        <v>14.43</v>
      </c>
      <c r="J1342" s="6">
        <f>ROUND(9.9055,2)</f>
        <v>9.91</v>
      </c>
      <c r="K1342" s="5">
        <f>ROUND(460381.39,0)</f>
        <v>460381</v>
      </c>
      <c r="L1342" s="7">
        <f>ROUND(0.000160002179814626,4)</f>
        <v>2.0000000000000001E-4</v>
      </c>
    </row>
    <row r="1343" spans="1:12">
      <c r="A1343" s="3" t="s">
        <v>2793</v>
      </c>
      <c r="B1343" s="4" t="s">
        <v>2794</v>
      </c>
      <c r="C1343" s="4" t="s">
        <v>534</v>
      </c>
      <c r="D1343" s="4" t="s">
        <v>407</v>
      </c>
      <c r="E1343" s="4" t="s">
        <v>35</v>
      </c>
      <c r="F1343" s="4" t="s">
        <v>21</v>
      </c>
      <c r="G1343" s="4" t="s">
        <v>408</v>
      </c>
      <c r="H1343" s="5">
        <f>ROUND(375,0)</f>
        <v>375</v>
      </c>
      <c r="I1343" s="6">
        <f>ROUND(134.79,2)</f>
        <v>134.79</v>
      </c>
      <c r="J1343" s="6">
        <f>ROUND(9.08595,2)</f>
        <v>9.09</v>
      </c>
      <c r="K1343" s="5">
        <f>ROUND(459260.7,0)</f>
        <v>459261</v>
      </c>
      <c r="L1343" s="7">
        <f>ROUND(0.000159612692214147,4)</f>
        <v>2.0000000000000001E-4</v>
      </c>
    </row>
    <row r="1344" spans="1:12">
      <c r="A1344" s="3" t="s">
        <v>2795</v>
      </c>
      <c r="B1344" s="4" t="s">
        <v>2796</v>
      </c>
      <c r="C1344" s="4" t="s">
        <v>415</v>
      </c>
      <c r="D1344" s="4" t="s">
        <v>1246</v>
      </c>
      <c r="E1344" s="4" t="s">
        <v>1247</v>
      </c>
      <c r="F1344" s="4" t="s">
        <v>1248</v>
      </c>
      <c r="G1344" s="4" t="s">
        <v>408</v>
      </c>
      <c r="H1344" s="5">
        <f>ROUND(76230,0)</f>
        <v>76230</v>
      </c>
      <c r="I1344" s="6">
        <f>ROUND(230.2,2)</f>
        <v>230.2</v>
      </c>
      <c r="J1344" s="6">
        <f>ROUND(2.6140712,2)</f>
        <v>2.61</v>
      </c>
      <c r="K1344" s="5">
        <f>ROUND(458721.03,0)</f>
        <v>458721</v>
      </c>
      <c r="L1344" s="7">
        <f>ROUND(0.000159425133858714,4)</f>
        <v>2.0000000000000001E-4</v>
      </c>
    </row>
    <row r="1345" spans="1:12">
      <c r="A1345" s="3" t="s">
        <v>2797</v>
      </c>
      <c r="B1345" s="4" t="s">
        <v>2798</v>
      </c>
      <c r="C1345" s="4" t="s">
        <v>534</v>
      </c>
      <c r="D1345" s="4" t="s">
        <v>1024</v>
      </c>
      <c r="E1345" s="4" t="s">
        <v>1025</v>
      </c>
      <c r="F1345" s="4" t="s">
        <v>1026</v>
      </c>
      <c r="G1345" s="4" t="s">
        <v>408</v>
      </c>
      <c r="H1345" s="5">
        <f>ROUND(4637,0)</f>
        <v>4637</v>
      </c>
      <c r="I1345" s="6">
        <f>ROUND(106.7,2)</f>
        <v>106.7</v>
      </c>
      <c r="J1345" s="6">
        <f>ROUND(0.92410673,2)</f>
        <v>0.92</v>
      </c>
      <c r="K1345" s="5">
        <f>ROUND(457218.35,0)</f>
        <v>457218</v>
      </c>
      <c r="L1345" s="7">
        <f>ROUND(0.000158902888431799,4)</f>
        <v>2.0000000000000001E-4</v>
      </c>
    </row>
    <row r="1346" spans="1:12">
      <c r="A1346" s="3" t="s">
        <v>2799</v>
      </c>
      <c r="B1346" s="4" t="s">
        <v>2800</v>
      </c>
      <c r="C1346" s="4" t="s">
        <v>545</v>
      </c>
      <c r="D1346" s="4" t="s">
        <v>541</v>
      </c>
      <c r="E1346" s="4" t="s">
        <v>542</v>
      </c>
      <c r="F1346" s="4" t="s">
        <v>18</v>
      </c>
      <c r="G1346" s="4" t="s">
        <v>408</v>
      </c>
      <c r="H1346" s="5">
        <f>ROUND(2033,0)</f>
        <v>2033</v>
      </c>
      <c r="I1346" s="6">
        <f>ROUND(22.65,2)</f>
        <v>22.65</v>
      </c>
      <c r="J1346" s="6">
        <f>ROUND(9.9055,2)</f>
        <v>9.91</v>
      </c>
      <c r="K1346" s="5">
        <f>ROUND(456123.02,0)</f>
        <v>456123</v>
      </c>
      <c r="L1346" s="7">
        <f>ROUND(0.000158522214513559,4)</f>
        <v>2.0000000000000001E-4</v>
      </c>
    </row>
    <row r="1347" spans="1:12">
      <c r="A1347" s="3" t="s">
        <v>2801</v>
      </c>
      <c r="B1347" s="4" t="s">
        <v>2802</v>
      </c>
      <c r="C1347" s="4" t="s">
        <v>545</v>
      </c>
      <c r="D1347" s="4" t="s">
        <v>395</v>
      </c>
      <c r="E1347" s="4" t="s">
        <v>396</v>
      </c>
      <c r="F1347" s="4" t="s">
        <v>397</v>
      </c>
      <c r="G1347" s="4" t="s">
        <v>408</v>
      </c>
      <c r="H1347" s="5">
        <f>ROUND(6201,0)</f>
        <v>6201</v>
      </c>
      <c r="I1347" s="6">
        <f>ROUND(33.65,2)</f>
        <v>33.65</v>
      </c>
      <c r="J1347" s="6">
        <f>ROUND(2.18129969,2)</f>
        <v>2.1800000000000002</v>
      </c>
      <c r="K1347" s="5">
        <f>ROUND(455157.96,0)</f>
        <v>455158</v>
      </c>
      <c r="L1347" s="7">
        <f>ROUND(0.000158186814979594,4)</f>
        <v>2.0000000000000001E-4</v>
      </c>
    </row>
    <row r="1348" spans="1:12">
      <c r="A1348" s="3" t="s">
        <v>2803</v>
      </c>
      <c r="B1348" s="4" t="s">
        <v>2804</v>
      </c>
      <c r="C1348" s="4" t="s">
        <v>566</v>
      </c>
      <c r="D1348" s="4" t="s">
        <v>2271</v>
      </c>
      <c r="E1348" s="4" t="s">
        <v>2272</v>
      </c>
      <c r="F1348" s="4" t="s">
        <v>175</v>
      </c>
      <c r="G1348" s="4" t="s">
        <v>408</v>
      </c>
      <c r="H1348" s="5">
        <f>ROUND(5713,0)</f>
        <v>5713</v>
      </c>
      <c r="I1348" s="6">
        <f>ROUND(13274,2)</f>
        <v>13274</v>
      </c>
      <c r="J1348" s="6">
        <f>ROUND(0.59923836,2)</f>
        <v>0.6</v>
      </c>
      <c r="K1348" s="5">
        <f>ROUND(454428.59,0)</f>
        <v>454429</v>
      </c>
      <c r="L1348" s="7">
        <f>ROUND(0.000157933327778708,4)</f>
        <v>2.0000000000000001E-4</v>
      </c>
    </row>
    <row r="1349" spans="1:12">
      <c r="A1349" s="3" t="s">
        <v>2805</v>
      </c>
      <c r="B1349" s="4" t="s">
        <v>2806</v>
      </c>
      <c r="C1349" s="4" t="s">
        <v>389</v>
      </c>
      <c r="D1349" s="4" t="s">
        <v>486</v>
      </c>
      <c r="E1349" s="4" t="s">
        <v>30</v>
      </c>
      <c r="F1349" s="4" t="s">
        <v>20</v>
      </c>
      <c r="G1349" s="4" t="s">
        <v>408</v>
      </c>
      <c r="H1349" s="5">
        <f>ROUND(1200,0)</f>
        <v>1200</v>
      </c>
      <c r="I1349" s="6">
        <f>ROUND(3370,2)</f>
        <v>3370</v>
      </c>
      <c r="J1349" s="6">
        <f>ROUND(11.19645077,2)</f>
        <v>11.2</v>
      </c>
      <c r="K1349" s="5">
        <f>ROUND(452784.47,0)</f>
        <v>452784</v>
      </c>
      <c r="L1349" s="7">
        <f>ROUND(0.000157361925915837,4)</f>
        <v>2.0000000000000001E-4</v>
      </c>
    </row>
    <row r="1350" spans="1:12">
      <c r="A1350" s="3" t="s">
        <v>2807</v>
      </c>
      <c r="B1350" s="4" t="s">
        <v>2808</v>
      </c>
      <c r="C1350" s="4" t="s">
        <v>545</v>
      </c>
      <c r="D1350" s="4" t="s">
        <v>407</v>
      </c>
      <c r="E1350" s="4" t="s">
        <v>35</v>
      </c>
      <c r="F1350" s="4" t="s">
        <v>21</v>
      </c>
      <c r="G1350" s="4" t="s">
        <v>408</v>
      </c>
      <c r="H1350" s="5">
        <f>ROUND(1200,0)</f>
        <v>1200</v>
      </c>
      <c r="I1350" s="6">
        <f>ROUND(41.51,2)</f>
        <v>41.51</v>
      </c>
      <c r="J1350" s="6">
        <f>ROUND(9.08595,2)</f>
        <v>9.09</v>
      </c>
      <c r="K1350" s="5">
        <f>ROUND(452589.34,0)</f>
        <v>452589</v>
      </c>
      <c r="L1350" s="7">
        <f>ROUND(0.000157294109913659,4)</f>
        <v>2.0000000000000001E-4</v>
      </c>
    </row>
    <row r="1351" spans="1:12">
      <c r="A1351" s="3" t="s">
        <v>2809</v>
      </c>
      <c r="B1351" s="4" t="s">
        <v>2810</v>
      </c>
      <c r="C1351" s="4" t="s">
        <v>534</v>
      </c>
      <c r="D1351" s="4" t="s">
        <v>489</v>
      </c>
      <c r="E1351" s="4" t="s">
        <v>490</v>
      </c>
      <c r="F1351" s="4" t="s">
        <v>45</v>
      </c>
      <c r="G1351" s="4" t="s">
        <v>408</v>
      </c>
      <c r="H1351" s="5">
        <f>ROUND(5000,0)</f>
        <v>5000</v>
      </c>
      <c r="I1351" s="6">
        <f>ROUND(1076,2)</f>
        <v>1076</v>
      </c>
      <c r="J1351" s="6">
        <f>ROUND(8.407077,2)</f>
        <v>8.41</v>
      </c>
      <c r="K1351" s="5">
        <f>ROUND(452300.74,0)</f>
        <v>452301</v>
      </c>
      <c r="L1351" s="7">
        <f>ROUND(0.000157193809097645,4)</f>
        <v>2.0000000000000001E-4</v>
      </c>
    </row>
    <row r="1352" spans="1:12">
      <c r="A1352" s="3" t="s">
        <v>2811</v>
      </c>
      <c r="B1352" s="4" t="s">
        <v>2812</v>
      </c>
      <c r="C1352" s="4" t="s">
        <v>415</v>
      </c>
      <c r="D1352" s="4" t="s">
        <v>407</v>
      </c>
      <c r="E1352" s="4" t="s">
        <v>35</v>
      </c>
      <c r="F1352" s="4" t="s">
        <v>21</v>
      </c>
      <c r="G1352" s="4" t="s">
        <v>408</v>
      </c>
      <c r="H1352" s="5">
        <f>ROUND(2065,0)</f>
        <v>2065</v>
      </c>
      <c r="I1352" s="6">
        <f>ROUND(24.03,2)</f>
        <v>24.03</v>
      </c>
      <c r="J1352" s="6">
        <f>ROUND(9.08595,2)</f>
        <v>9.09</v>
      </c>
      <c r="K1352" s="5">
        <f>ROUND(450862.56,0)</f>
        <v>450863</v>
      </c>
      <c r="L1352" s="7">
        <f>ROUND(0.000156693980173271,4)</f>
        <v>2.0000000000000001E-4</v>
      </c>
    </row>
    <row r="1353" spans="1:12">
      <c r="A1353" s="3" t="s">
        <v>2813</v>
      </c>
      <c r="B1353" s="4" t="s">
        <v>2814</v>
      </c>
      <c r="C1353" s="4" t="s">
        <v>430</v>
      </c>
      <c r="D1353" s="4" t="s">
        <v>489</v>
      </c>
      <c r="E1353" s="4" t="s">
        <v>490</v>
      </c>
      <c r="F1353" s="4" t="s">
        <v>45</v>
      </c>
      <c r="G1353" s="4" t="s">
        <v>408</v>
      </c>
      <c r="H1353" s="5">
        <f>ROUND(5400,0)</f>
        <v>5400</v>
      </c>
      <c r="I1353" s="6">
        <f>ROUND(991.1,2)</f>
        <v>991.1</v>
      </c>
      <c r="J1353" s="6">
        <f>ROUND(8.407077,2)</f>
        <v>8.41</v>
      </c>
      <c r="K1353" s="5">
        <f>ROUND(449941.72,0)</f>
        <v>449942</v>
      </c>
      <c r="L1353" s="7">
        <f>ROUND(0.000156373948976396,4)</f>
        <v>2.0000000000000001E-4</v>
      </c>
    </row>
    <row r="1354" spans="1:12">
      <c r="A1354" s="3" t="s">
        <v>2815</v>
      </c>
      <c r="B1354" s="4" t="s">
        <v>2816</v>
      </c>
      <c r="C1354" s="4" t="s">
        <v>406</v>
      </c>
      <c r="D1354" s="4" t="s">
        <v>407</v>
      </c>
      <c r="E1354" s="4" t="s">
        <v>35</v>
      </c>
      <c r="F1354" s="4" t="s">
        <v>21</v>
      </c>
      <c r="G1354" s="4" t="s">
        <v>408</v>
      </c>
      <c r="H1354" s="5">
        <f>ROUND(2000,0)</f>
        <v>2000</v>
      </c>
      <c r="I1354" s="6">
        <f>ROUND(24.75,2)</f>
        <v>24.75</v>
      </c>
      <c r="J1354" s="6">
        <f>ROUND(9.08595,2)</f>
        <v>9.09</v>
      </c>
      <c r="K1354" s="5">
        <f>ROUND(449754.53,0)</f>
        <v>449755</v>
      </c>
      <c r="L1354" s="7">
        <f>ROUND(0.000156308892463057,4)</f>
        <v>2.0000000000000001E-4</v>
      </c>
    </row>
    <row r="1355" spans="1:12">
      <c r="A1355" s="3" t="s">
        <v>2817</v>
      </c>
      <c r="B1355" s="4" t="s">
        <v>2818</v>
      </c>
      <c r="C1355" s="4" t="s">
        <v>400</v>
      </c>
      <c r="D1355" s="4" t="s">
        <v>723</v>
      </c>
      <c r="E1355" s="4" t="s">
        <v>724</v>
      </c>
      <c r="F1355" s="4" t="s">
        <v>18</v>
      </c>
      <c r="G1355" s="4" t="s">
        <v>408</v>
      </c>
      <c r="H1355" s="5">
        <f>ROUND(18835,0)</f>
        <v>18835</v>
      </c>
      <c r="I1355" s="6">
        <f>ROUND(2.41,2)</f>
        <v>2.41</v>
      </c>
      <c r="J1355" s="6">
        <f>ROUND(9.9055,2)</f>
        <v>9.91</v>
      </c>
      <c r="K1355" s="5">
        <f>ROUND(449633.92,0)</f>
        <v>449634</v>
      </c>
      <c r="L1355" s="7">
        <f>ROUND(0.000156266975341022,4)</f>
        <v>2.0000000000000001E-4</v>
      </c>
    </row>
    <row r="1356" spans="1:12">
      <c r="A1356" s="3" t="s">
        <v>2819</v>
      </c>
      <c r="B1356" s="4" t="s">
        <v>2820</v>
      </c>
      <c r="C1356" s="4" t="s">
        <v>406</v>
      </c>
      <c r="D1356" s="4" t="s">
        <v>577</v>
      </c>
      <c r="E1356" s="4" t="s">
        <v>578</v>
      </c>
      <c r="F1356" s="4" t="s">
        <v>18</v>
      </c>
      <c r="G1356" s="4" t="s">
        <v>408</v>
      </c>
      <c r="H1356" s="5">
        <f>ROUND(75,0)</f>
        <v>75</v>
      </c>
      <c r="I1356" s="6">
        <f>ROUND(604.4,2)</f>
        <v>604.4</v>
      </c>
      <c r="J1356" s="6">
        <f>ROUND(9.9055,2)</f>
        <v>9.91</v>
      </c>
      <c r="K1356" s="5">
        <f>ROUND(449016.32,0)</f>
        <v>449016</v>
      </c>
      <c r="L1356" s="7">
        <f>ROUND(0.000156052332984923,4)</f>
        <v>2.0000000000000001E-4</v>
      </c>
    </row>
    <row r="1357" spans="1:12">
      <c r="A1357" s="3" t="s">
        <v>2821</v>
      </c>
      <c r="B1357" s="4" t="s">
        <v>2822</v>
      </c>
      <c r="C1357" s="4" t="s">
        <v>534</v>
      </c>
      <c r="D1357" s="4" t="s">
        <v>390</v>
      </c>
      <c r="E1357" s="4" t="s">
        <v>391</v>
      </c>
      <c r="F1357" s="4" t="s">
        <v>72</v>
      </c>
      <c r="G1357" s="4" t="s">
        <v>408</v>
      </c>
      <c r="H1357" s="5">
        <f>ROUND(9108,0)</f>
        <v>9108</v>
      </c>
      <c r="I1357" s="6">
        <f>ROUND(8.03,2)</f>
        <v>8.0299999999999994</v>
      </c>
      <c r="J1357" s="6">
        <f>ROUND(6.12812423,2)</f>
        <v>6.13</v>
      </c>
      <c r="K1357" s="5">
        <f>ROUND(448194.09,0)</f>
        <v>448194</v>
      </c>
      <c r="L1357" s="7">
        <f>ROUND(0.000155766572971233,4)</f>
        <v>2.0000000000000001E-4</v>
      </c>
    </row>
    <row r="1358" spans="1:12">
      <c r="A1358" s="3" t="s">
        <v>2823</v>
      </c>
      <c r="B1358" s="4" t="s">
        <v>2824</v>
      </c>
      <c r="C1358" s="4" t="s">
        <v>430</v>
      </c>
      <c r="D1358" s="4" t="s">
        <v>407</v>
      </c>
      <c r="E1358" s="4" t="s">
        <v>35</v>
      </c>
      <c r="F1358" s="4" t="s">
        <v>21</v>
      </c>
      <c r="G1358" s="4" t="s">
        <v>408</v>
      </c>
      <c r="H1358" s="5">
        <f>ROUND(2800,0)</f>
        <v>2800</v>
      </c>
      <c r="I1358" s="6">
        <f>ROUND(17.57,2)</f>
        <v>17.57</v>
      </c>
      <c r="J1358" s="6">
        <f>ROUND(9.08595,2)</f>
        <v>9.09</v>
      </c>
      <c r="K1358" s="5">
        <f>ROUND(446992.4,0)</f>
        <v>446992</v>
      </c>
      <c r="L1358" s="7">
        <f>ROUND(0.000155348934414076,4)</f>
        <v>2.0000000000000001E-4</v>
      </c>
    </row>
    <row r="1359" spans="1:12">
      <c r="A1359" s="3" t="s">
        <v>2825</v>
      </c>
      <c r="B1359" s="4" t="s">
        <v>2826</v>
      </c>
      <c r="C1359" s="4" t="s">
        <v>534</v>
      </c>
      <c r="D1359" s="4" t="s">
        <v>407</v>
      </c>
      <c r="E1359" s="4" t="s">
        <v>35</v>
      </c>
      <c r="F1359" s="4" t="s">
        <v>21</v>
      </c>
      <c r="G1359" s="4" t="s">
        <v>408</v>
      </c>
      <c r="H1359" s="5">
        <f>ROUND(300,0)</f>
        <v>300</v>
      </c>
      <c r="I1359" s="6">
        <f>ROUND(163.88,2)</f>
        <v>163.88</v>
      </c>
      <c r="J1359" s="6">
        <f>ROUND(9.08595,2)</f>
        <v>9.09</v>
      </c>
      <c r="K1359" s="5">
        <f>ROUND(446701.65,0)</f>
        <v>446702</v>
      </c>
      <c r="L1359" s="7">
        <f>ROUND(0.000155247886381312,4)</f>
        <v>2.0000000000000001E-4</v>
      </c>
    </row>
    <row r="1360" spans="1:12">
      <c r="A1360" s="3" t="s">
        <v>2827</v>
      </c>
      <c r="B1360" s="4" t="s">
        <v>2828</v>
      </c>
      <c r="C1360" s="4" t="s">
        <v>430</v>
      </c>
      <c r="D1360" s="4" t="s">
        <v>407</v>
      </c>
      <c r="E1360" s="4" t="s">
        <v>35</v>
      </c>
      <c r="F1360" s="4" t="s">
        <v>21</v>
      </c>
      <c r="G1360" s="4" t="s">
        <v>408</v>
      </c>
      <c r="H1360" s="5">
        <f>ROUND(546,0)</f>
        <v>546</v>
      </c>
      <c r="I1360" s="6">
        <f>ROUND(89.91,2)</f>
        <v>89.91</v>
      </c>
      <c r="J1360" s="6">
        <f>ROUND(9.08595,2)</f>
        <v>9.09</v>
      </c>
      <c r="K1360" s="5">
        <f>ROUND(446037.1,0)</f>
        <v>446037</v>
      </c>
      <c r="L1360" s="7">
        <f>ROUND(0.00015501692689662,4)</f>
        <v>2.0000000000000001E-4</v>
      </c>
    </row>
    <row r="1361" spans="1:12">
      <c r="A1361" s="3" t="s">
        <v>2829</v>
      </c>
      <c r="B1361" s="4" t="s">
        <v>2830</v>
      </c>
      <c r="C1361" s="4" t="s">
        <v>422</v>
      </c>
      <c r="D1361" s="4" t="s">
        <v>541</v>
      </c>
      <c r="E1361" s="4" t="s">
        <v>542</v>
      </c>
      <c r="F1361" s="4" t="s">
        <v>18</v>
      </c>
      <c r="G1361" s="4" t="s">
        <v>408</v>
      </c>
      <c r="H1361" s="5">
        <f>ROUND(536,0)</f>
        <v>536</v>
      </c>
      <c r="I1361" s="6">
        <f>ROUND(84,2)</f>
        <v>84</v>
      </c>
      <c r="J1361" s="6">
        <f>ROUND(9.9055,2)</f>
        <v>9.91</v>
      </c>
      <c r="K1361" s="5">
        <f>ROUND(445985.23,0)</f>
        <v>445985</v>
      </c>
      <c r="L1361" s="7">
        <f>ROUND(0.000154998899858067,4)</f>
        <v>2.0000000000000001E-4</v>
      </c>
    </row>
    <row r="1362" spans="1:12">
      <c r="A1362" s="3" t="s">
        <v>2831</v>
      </c>
      <c r="B1362" s="4" t="s">
        <v>2832</v>
      </c>
      <c r="C1362" s="4" t="s">
        <v>406</v>
      </c>
      <c r="D1362" s="4" t="s">
        <v>407</v>
      </c>
      <c r="E1362" s="4" t="s">
        <v>35</v>
      </c>
      <c r="F1362" s="4" t="s">
        <v>21</v>
      </c>
      <c r="G1362" s="4" t="s">
        <v>408</v>
      </c>
      <c r="H1362" s="5">
        <f>ROUND(1657,0)</f>
        <v>1657</v>
      </c>
      <c r="I1362" s="6">
        <f>ROUND(29.5,2)</f>
        <v>29.5</v>
      </c>
      <c r="J1362" s="6">
        <f>ROUND(9.08595,2)</f>
        <v>9.09</v>
      </c>
      <c r="K1362" s="5">
        <f>ROUND(444134.86,0)</f>
        <v>444135</v>
      </c>
      <c r="L1362" s="7">
        <f>ROUND(0.000154355817318471,4)</f>
        <v>2.0000000000000001E-4</v>
      </c>
    </row>
    <row r="1363" spans="1:12">
      <c r="A1363" s="3" t="s">
        <v>2833</v>
      </c>
      <c r="B1363" s="4" t="s">
        <v>2834</v>
      </c>
      <c r="C1363" s="4" t="s">
        <v>566</v>
      </c>
      <c r="D1363" s="4" t="s">
        <v>489</v>
      </c>
      <c r="E1363" s="4" t="s">
        <v>490</v>
      </c>
      <c r="F1363" s="4" t="s">
        <v>45</v>
      </c>
      <c r="G1363" s="4" t="s">
        <v>408</v>
      </c>
      <c r="H1363" s="5">
        <f>ROUND(27,0)</f>
        <v>27</v>
      </c>
      <c r="I1363" s="6">
        <f>ROUND(195200,2)</f>
        <v>195200</v>
      </c>
      <c r="J1363" s="6">
        <f>ROUND(8.407077,2)</f>
        <v>8.41</v>
      </c>
      <c r="K1363" s="5">
        <f>ROUND(443086.59,0)</f>
        <v>443087</v>
      </c>
      <c r="L1363" s="7">
        <f>ROUND(0.000153991498758518,4)</f>
        <v>2.0000000000000001E-4</v>
      </c>
    </row>
    <row r="1364" spans="1:12">
      <c r="A1364" s="3" t="s">
        <v>2835</v>
      </c>
      <c r="B1364" s="4" t="s">
        <v>2836</v>
      </c>
      <c r="C1364" s="4" t="s">
        <v>566</v>
      </c>
      <c r="D1364" s="4" t="s">
        <v>1221</v>
      </c>
      <c r="E1364" s="4" t="s">
        <v>1222</v>
      </c>
      <c r="F1364" s="4" t="s">
        <v>1223</v>
      </c>
      <c r="G1364" s="4" t="s">
        <v>408</v>
      </c>
      <c r="H1364" s="5">
        <f>ROUND(19100,0)</f>
        <v>19100</v>
      </c>
      <c r="I1364" s="6">
        <f>ROUND(3.53,2)</f>
        <v>3.53</v>
      </c>
      <c r="J1364" s="6">
        <f>ROUND(6.57015886,2)</f>
        <v>6.57</v>
      </c>
      <c r="K1364" s="5">
        <f>ROUND(442979.82,0)</f>
        <v>442980</v>
      </c>
      <c r="L1364" s="7">
        <f>ROUND(0.000153954391627105,4)</f>
        <v>2.0000000000000001E-4</v>
      </c>
    </row>
    <row r="1365" spans="1:12">
      <c r="A1365" s="3" t="s">
        <v>2837</v>
      </c>
      <c r="B1365" s="4" t="s">
        <v>2838</v>
      </c>
      <c r="C1365" s="4" t="s">
        <v>389</v>
      </c>
      <c r="D1365" s="4" t="s">
        <v>407</v>
      </c>
      <c r="E1365" s="4" t="s">
        <v>35</v>
      </c>
      <c r="F1365" s="4" t="s">
        <v>21</v>
      </c>
      <c r="G1365" s="4" t="s">
        <v>408</v>
      </c>
      <c r="H1365" s="5">
        <f>ROUND(2600,0)</f>
        <v>2600</v>
      </c>
      <c r="I1365" s="6">
        <f>ROUND(18.72,2)</f>
        <v>18.72</v>
      </c>
      <c r="J1365" s="6">
        <f>ROUND(9.08595,2)</f>
        <v>9.09</v>
      </c>
      <c r="K1365" s="5">
        <f>ROUND(442231.36,0)</f>
        <v>442231</v>
      </c>
      <c r="L1365" s="7">
        <f>ROUND(0.000153694269836552,4)</f>
        <v>2.0000000000000001E-4</v>
      </c>
    </row>
    <row r="1366" spans="1:12">
      <c r="A1366" s="3" t="s">
        <v>2839</v>
      </c>
      <c r="B1366" s="4" t="s">
        <v>2840</v>
      </c>
      <c r="C1366" s="4" t="s">
        <v>545</v>
      </c>
      <c r="D1366" s="4" t="s">
        <v>407</v>
      </c>
      <c r="E1366" s="4" t="s">
        <v>35</v>
      </c>
      <c r="F1366" s="4" t="s">
        <v>21</v>
      </c>
      <c r="G1366" s="4" t="s">
        <v>408</v>
      </c>
      <c r="H1366" s="5">
        <f>ROUND(700,0)</f>
        <v>700</v>
      </c>
      <c r="I1366" s="6">
        <f>ROUND(69.52,2)</f>
        <v>69.52</v>
      </c>
      <c r="J1366" s="6">
        <f>ROUND(9.08595,2)</f>
        <v>9.09</v>
      </c>
      <c r="K1366" s="5">
        <f>ROUND(442158.67,0)</f>
        <v>442159</v>
      </c>
      <c r="L1366" s="7">
        <f>ROUND(0.000153669006959504,4)</f>
        <v>2.0000000000000001E-4</v>
      </c>
    </row>
    <row r="1367" spans="1:12">
      <c r="A1367" s="3" t="s">
        <v>2841</v>
      </c>
      <c r="B1367" s="4" t="s">
        <v>2842</v>
      </c>
      <c r="C1367" s="4" t="s">
        <v>400</v>
      </c>
      <c r="D1367" s="4" t="s">
        <v>486</v>
      </c>
      <c r="E1367" s="4" t="s">
        <v>30</v>
      </c>
      <c r="F1367" s="4" t="s">
        <v>20</v>
      </c>
      <c r="G1367" s="4" t="s">
        <v>408</v>
      </c>
      <c r="H1367" s="5">
        <f>ROUND(7389,0)</f>
        <v>7389</v>
      </c>
      <c r="I1367" s="6">
        <f>ROUND(534.2,2)</f>
        <v>534.20000000000005</v>
      </c>
      <c r="J1367" s="6">
        <f>ROUND(11.19645077,2)</f>
        <v>11.2</v>
      </c>
      <c r="K1367" s="5">
        <f>ROUND(441946.75,0)</f>
        <v>441947</v>
      </c>
      <c r="L1367" s="7">
        <f>ROUND(0.000153595355715811,4)</f>
        <v>2.0000000000000001E-4</v>
      </c>
    </row>
    <row r="1368" spans="1:12">
      <c r="A1368" s="3" t="s">
        <v>2843</v>
      </c>
      <c r="B1368" s="4" t="s">
        <v>2844</v>
      </c>
      <c r="C1368" s="4" t="s">
        <v>534</v>
      </c>
      <c r="D1368" s="4" t="s">
        <v>407</v>
      </c>
      <c r="E1368" s="4" t="s">
        <v>35</v>
      </c>
      <c r="F1368" s="4" t="s">
        <v>21</v>
      </c>
      <c r="G1368" s="4" t="s">
        <v>408</v>
      </c>
      <c r="H1368" s="5">
        <f>ROUND(900,0)</f>
        <v>900</v>
      </c>
      <c r="I1368" s="6">
        <f>ROUND(54.01,2)</f>
        <v>54.01</v>
      </c>
      <c r="J1368" s="6">
        <f>ROUND(9.08595,2)</f>
        <v>9.09</v>
      </c>
      <c r="K1368" s="5">
        <f>ROUND(441658.94,0)</f>
        <v>441659</v>
      </c>
      <c r="L1368" s="7">
        <f>ROUND(0.000153495329458511,4)</f>
        <v>2.0000000000000001E-4</v>
      </c>
    </row>
    <row r="1369" spans="1:12">
      <c r="A1369" s="3" t="s">
        <v>2845</v>
      </c>
      <c r="B1369" s="4" t="s">
        <v>2846</v>
      </c>
      <c r="C1369" s="4" t="s">
        <v>566</v>
      </c>
      <c r="D1369" s="4" t="s">
        <v>407</v>
      </c>
      <c r="E1369" s="4" t="s">
        <v>35</v>
      </c>
      <c r="F1369" s="4" t="s">
        <v>21</v>
      </c>
      <c r="G1369" s="4" t="s">
        <v>408</v>
      </c>
      <c r="H1369" s="5">
        <f>ROUND(1000,0)</f>
        <v>1000</v>
      </c>
      <c r="I1369" s="6">
        <f>ROUND(48.48,2)</f>
        <v>48.48</v>
      </c>
      <c r="J1369" s="6">
        <f>ROUND(9.08595,2)</f>
        <v>9.09</v>
      </c>
      <c r="K1369" s="5">
        <f>ROUND(440486.86,0)</f>
        <v>440487</v>
      </c>
      <c r="L1369" s="7">
        <f>ROUND(0.000153087981639962,4)</f>
        <v>2.0000000000000001E-4</v>
      </c>
    </row>
    <row r="1370" spans="1:12">
      <c r="A1370" s="3" t="s">
        <v>2847</v>
      </c>
      <c r="B1370" s="4" t="s">
        <v>2848</v>
      </c>
      <c r="C1370" s="4" t="s">
        <v>534</v>
      </c>
      <c r="D1370" s="4" t="s">
        <v>514</v>
      </c>
      <c r="E1370" s="4" t="s">
        <v>515</v>
      </c>
      <c r="F1370" s="4" t="s">
        <v>190</v>
      </c>
      <c r="G1370" s="4" t="s">
        <v>408</v>
      </c>
      <c r="H1370" s="5">
        <f>ROUND(1900,0)</f>
        <v>1900</v>
      </c>
      <c r="I1370" s="6">
        <f>ROUND(33.66,2)</f>
        <v>33.659999999999997</v>
      </c>
      <c r="J1370" s="6">
        <f>ROUND(6.86237833,2)</f>
        <v>6.86</v>
      </c>
      <c r="K1370" s="5">
        <f>ROUND(438876.54,0)</f>
        <v>438877</v>
      </c>
      <c r="L1370" s="7">
        <f>ROUND(0.000152528326719508,4)</f>
        <v>2.0000000000000001E-4</v>
      </c>
    </row>
    <row r="1371" spans="1:12">
      <c r="A1371" s="3" t="s">
        <v>2849</v>
      </c>
      <c r="B1371" s="4" t="s">
        <v>2850</v>
      </c>
      <c r="C1371" s="4" t="s">
        <v>389</v>
      </c>
      <c r="D1371" s="4" t="s">
        <v>407</v>
      </c>
      <c r="E1371" s="4" t="s">
        <v>35</v>
      </c>
      <c r="F1371" s="4" t="s">
        <v>21</v>
      </c>
      <c r="G1371" s="4" t="s">
        <v>408</v>
      </c>
      <c r="H1371" s="5">
        <f>ROUND(1849,0)</f>
        <v>1849</v>
      </c>
      <c r="I1371" s="6">
        <f>ROUND(26.05,2)</f>
        <v>26.05</v>
      </c>
      <c r="J1371" s="6">
        <f>ROUND(9.08595,2)</f>
        <v>9.09</v>
      </c>
      <c r="K1371" s="5">
        <f>ROUND(437637.96,0)</f>
        <v>437638</v>
      </c>
      <c r="L1371" s="7">
        <f>ROUND(0.000152097867313069,4)</f>
        <v>2.0000000000000001E-4</v>
      </c>
    </row>
    <row r="1372" spans="1:12">
      <c r="A1372" s="3" t="s">
        <v>2851</v>
      </c>
      <c r="B1372" s="4" t="s">
        <v>2852</v>
      </c>
      <c r="C1372" s="4" t="s">
        <v>406</v>
      </c>
      <c r="D1372" s="4" t="s">
        <v>489</v>
      </c>
      <c r="E1372" s="4" t="s">
        <v>490</v>
      </c>
      <c r="F1372" s="4" t="s">
        <v>45</v>
      </c>
      <c r="G1372" s="4" t="s">
        <v>408</v>
      </c>
      <c r="H1372" s="5">
        <f>ROUND(2400,0)</f>
        <v>2400</v>
      </c>
      <c r="I1372" s="6">
        <f>ROUND(2151,2)</f>
        <v>2151</v>
      </c>
      <c r="J1372" s="6">
        <f>ROUND(8.407077,2)</f>
        <v>8.41</v>
      </c>
      <c r="K1372" s="5">
        <f>ROUND(434006.94,0)</f>
        <v>434007</v>
      </c>
      <c r="L1372" s="7">
        <f>ROUND(0.000150835932909181,4)</f>
        <v>2.0000000000000001E-4</v>
      </c>
    </row>
    <row r="1373" spans="1:12">
      <c r="A1373" s="3" t="s">
        <v>2853</v>
      </c>
      <c r="B1373" s="4" t="s">
        <v>2854</v>
      </c>
      <c r="C1373" s="4" t="s">
        <v>389</v>
      </c>
      <c r="D1373" s="4" t="s">
        <v>489</v>
      </c>
      <c r="E1373" s="4" t="s">
        <v>490</v>
      </c>
      <c r="F1373" s="4" t="s">
        <v>45</v>
      </c>
      <c r="G1373" s="4" t="s">
        <v>408</v>
      </c>
      <c r="H1373" s="5">
        <f>ROUND(1800,0)</f>
        <v>1800</v>
      </c>
      <c r="I1373" s="6">
        <f>ROUND(2856,2)</f>
        <v>2856</v>
      </c>
      <c r="J1373" s="6">
        <f>ROUND(8.407077,2)</f>
        <v>8.41</v>
      </c>
      <c r="K1373" s="5">
        <f>ROUND(432191.01,0)</f>
        <v>432191</v>
      </c>
      <c r="L1373" s="7">
        <f>ROUND(0.000150204819739314,4)</f>
        <v>2.0000000000000001E-4</v>
      </c>
    </row>
    <row r="1374" spans="1:12">
      <c r="A1374" s="3" t="s">
        <v>2855</v>
      </c>
      <c r="B1374" s="4" t="s">
        <v>2856</v>
      </c>
      <c r="C1374" s="4" t="s">
        <v>389</v>
      </c>
      <c r="D1374" s="4" t="s">
        <v>407</v>
      </c>
      <c r="E1374" s="4" t="s">
        <v>35</v>
      </c>
      <c r="F1374" s="4" t="s">
        <v>21</v>
      </c>
      <c r="G1374" s="4" t="s">
        <v>408</v>
      </c>
      <c r="H1374" s="5">
        <f>ROUND(1300,0)</f>
        <v>1300</v>
      </c>
      <c r="I1374" s="6">
        <f>ROUND(36.55,2)</f>
        <v>36.549999999999997</v>
      </c>
      <c r="J1374" s="6">
        <f>ROUND(9.08595,2)</f>
        <v>9.09</v>
      </c>
      <c r="K1374" s="5">
        <f>ROUND(431718.91,0)</f>
        <v>431719</v>
      </c>
      <c r="L1374" s="7">
        <f>ROUND(0.000150040744842433,4)</f>
        <v>2.0000000000000001E-4</v>
      </c>
    </row>
    <row r="1375" spans="1:12">
      <c r="A1375" s="3" t="s">
        <v>2857</v>
      </c>
      <c r="B1375" s="4" t="s">
        <v>2858</v>
      </c>
      <c r="C1375" s="4" t="s">
        <v>415</v>
      </c>
      <c r="D1375" s="4" t="s">
        <v>407</v>
      </c>
      <c r="E1375" s="4" t="s">
        <v>35</v>
      </c>
      <c r="F1375" s="4" t="s">
        <v>21</v>
      </c>
      <c r="G1375" s="4" t="s">
        <v>408</v>
      </c>
      <c r="H1375" s="5">
        <f>ROUND(2203,0)</f>
        <v>2203</v>
      </c>
      <c r="I1375" s="6">
        <f>ROUND(21.56,2)</f>
        <v>21.56</v>
      </c>
      <c r="J1375" s="6">
        <f>ROUND(9.08595,2)</f>
        <v>9.09</v>
      </c>
      <c r="K1375" s="5">
        <f>ROUND(431552.46,0)</f>
        <v>431552</v>
      </c>
      <c r="L1375" s="7">
        <f>ROUND(0.000149982896364174,4)</f>
        <v>1E-4</v>
      </c>
    </row>
    <row r="1376" spans="1:12">
      <c r="A1376" s="3" t="s">
        <v>2859</v>
      </c>
      <c r="B1376" s="4" t="s">
        <v>2860</v>
      </c>
      <c r="C1376" s="4" t="s">
        <v>415</v>
      </c>
      <c r="D1376" s="4" t="s">
        <v>520</v>
      </c>
      <c r="E1376" s="4" t="s">
        <v>521</v>
      </c>
      <c r="F1376" s="4" t="s">
        <v>18</v>
      </c>
      <c r="G1376" s="4" t="s">
        <v>408</v>
      </c>
      <c r="H1376" s="5">
        <f>ROUND(960,0)</f>
        <v>960</v>
      </c>
      <c r="I1376" s="6">
        <f>ROUND(45.12,2)</f>
        <v>45.12</v>
      </c>
      <c r="J1376" s="6">
        <f>ROUND(9.9055,2)</f>
        <v>9.91</v>
      </c>
      <c r="K1376" s="5">
        <f>ROUND(429058.71,0)</f>
        <v>429059</v>
      </c>
      <c r="L1376" s="7">
        <f>ROUND(0.000149116211818318,4)</f>
        <v>1E-4</v>
      </c>
    </row>
    <row r="1377" spans="1:12">
      <c r="A1377" s="3" t="s">
        <v>2861</v>
      </c>
      <c r="B1377" s="4" t="s">
        <v>2862</v>
      </c>
      <c r="C1377" s="4" t="s">
        <v>389</v>
      </c>
      <c r="D1377" s="4" t="s">
        <v>407</v>
      </c>
      <c r="E1377" s="4" t="s">
        <v>35</v>
      </c>
      <c r="F1377" s="4" t="s">
        <v>21</v>
      </c>
      <c r="G1377" s="4" t="s">
        <v>408</v>
      </c>
      <c r="H1377" s="5">
        <f>ROUND(1279,0)</f>
        <v>1279</v>
      </c>
      <c r="I1377" s="6">
        <f>ROUND(36.68,2)</f>
        <v>36.68</v>
      </c>
      <c r="J1377" s="6">
        <f>ROUND(9.08595,2)</f>
        <v>9.09</v>
      </c>
      <c r="K1377" s="5">
        <f>ROUND(426255.71,0)</f>
        <v>426256</v>
      </c>
      <c r="L1377" s="7">
        <f>ROUND(0.000148142049700209,4)</f>
        <v>1E-4</v>
      </c>
    </row>
    <row r="1378" spans="1:12">
      <c r="A1378" s="3" t="s">
        <v>2863</v>
      </c>
      <c r="B1378" s="4" t="s">
        <v>2864</v>
      </c>
      <c r="C1378" s="4" t="s">
        <v>566</v>
      </c>
      <c r="D1378" s="4" t="s">
        <v>456</v>
      </c>
      <c r="E1378" s="4" t="s">
        <v>457</v>
      </c>
      <c r="F1378" s="4" t="s">
        <v>26</v>
      </c>
      <c r="G1378" s="4" t="s">
        <v>408</v>
      </c>
      <c r="H1378" s="5">
        <f>ROUND(22000,0)</f>
        <v>22000</v>
      </c>
      <c r="I1378" s="6">
        <f>ROUND(16.7,2)</f>
        <v>16.7</v>
      </c>
      <c r="J1378" s="6">
        <f>ROUND(1.15901246,2)</f>
        <v>1.1599999999999999</v>
      </c>
      <c r="K1378" s="5">
        <f>ROUND(425821.18,0)</f>
        <v>425821</v>
      </c>
      <c r="L1378" s="7">
        <f>ROUND(0.000147991031981628,4)</f>
        <v>1E-4</v>
      </c>
    </row>
    <row r="1379" spans="1:12">
      <c r="A1379" s="3" t="s">
        <v>2865</v>
      </c>
      <c r="B1379" s="4" t="s">
        <v>2866</v>
      </c>
      <c r="C1379" s="4" t="s">
        <v>400</v>
      </c>
      <c r="D1379" s="4" t="s">
        <v>407</v>
      </c>
      <c r="E1379" s="4" t="s">
        <v>35</v>
      </c>
      <c r="F1379" s="4" t="s">
        <v>21</v>
      </c>
      <c r="G1379" s="4" t="s">
        <v>408</v>
      </c>
      <c r="H1379" s="5">
        <f>ROUND(2114,0)</f>
        <v>2114</v>
      </c>
      <c r="I1379" s="6">
        <f>ROUND(22.16,2)</f>
        <v>22.16</v>
      </c>
      <c r="J1379" s="6">
        <f>ROUND(9.08595,2)</f>
        <v>9.09</v>
      </c>
      <c r="K1379" s="5">
        <f>ROUND(425642.59,0)</f>
        <v>425643</v>
      </c>
      <c r="L1379" s="7">
        <f>ROUND(0.000147928964335294,4)</f>
        <v>1E-4</v>
      </c>
    </row>
    <row r="1380" spans="1:12">
      <c r="A1380" s="3" t="s">
        <v>2867</v>
      </c>
      <c r="B1380" s="4" t="s">
        <v>2868</v>
      </c>
      <c r="C1380" s="4" t="s">
        <v>566</v>
      </c>
      <c r="D1380" s="4" t="s">
        <v>407</v>
      </c>
      <c r="E1380" s="4" t="s">
        <v>35</v>
      </c>
      <c r="F1380" s="4" t="s">
        <v>21</v>
      </c>
      <c r="G1380" s="4" t="s">
        <v>408</v>
      </c>
      <c r="H1380" s="5">
        <f>ROUND(400,0)</f>
        <v>400</v>
      </c>
      <c r="I1380" s="6">
        <f>ROUND(116.82,2)</f>
        <v>116.82</v>
      </c>
      <c r="J1380" s="6">
        <f>ROUND(9.08595,2)</f>
        <v>9.09</v>
      </c>
      <c r="K1380" s="5">
        <f>ROUND(424568.27,0)</f>
        <v>424568</v>
      </c>
      <c r="L1380" s="7">
        <f>ROUND(0.000147555592288656,4)</f>
        <v>1E-4</v>
      </c>
    </row>
    <row r="1381" spans="1:12">
      <c r="A1381" s="3" t="s">
        <v>2869</v>
      </c>
      <c r="B1381" s="4" t="s">
        <v>2870</v>
      </c>
      <c r="C1381" s="4" t="s">
        <v>406</v>
      </c>
      <c r="D1381" s="4" t="s">
        <v>520</v>
      </c>
      <c r="E1381" s="4" t="s">
        <v>521</v>
      </c>
      <c r="F1381" s="4" t="s">
        <v>18</v>
      </c>
      <c r="G1381" s="4" t="s">
        <v>408</v>
      </c>
      <c r="H1381" s="5">
        <f>ROUND(662,0)</f>
        <v>662</v>
      </c>
      <c r="I1381" s="6">
        <f>ROUND(64.68,2)</f>
        <v>64.680000000000007</v>
      </c>
      <c r="J1381" s="6">
        <f>ROUND(9.9055,2)</f>
        <v>9.91</v>
      </c>
      <c r="K1381" s="5">
        <f>ROUND(424135.28,0)</f>
        <v>424135</v>
      </c>
      <c r="L1381" s="7">
        <f>ROUND(0.000147405109785795,4)</f>
        <v>1E-4</v>
      </c>
    </row>
    <row r="1382" spans="1:12">
      <c r="A1382" s="3" t="s">
        <v>2871</v>
      </c>
      <c r="B1382" s="4" t="s">
        <v>2872</v>
      </c>
      <c r="C1382" s="4" t="s">
        <v>400</v>
      </c>
      <c r="D1382" s="4" t="s">
        <v>739</v>
      </c>
      <c r="E1382" s="4" t="s">
        <v>740</v>
      </c>
      <c r="F1382" s="4" t="s">
        <v>741</v>
      </c>
      <c r="G1382" s="4" t="s">
        <v>408</v>
      </c>
      <c r="H1382" s="5">
        <f>ROUND(4230,0)</f>
        <v>4230</v>
      </c>
      <c r="I1382" s="6">
        <f>ROUND(13200,2)</f>
        <v>13200</v>
      </c>
      <c r="J1382" s="6">
        <f>ROUND(0.00759599,2)</f>
        <v>0.01</v>
      </c>
      <c r="K1382" s="5">
        <f>ROUND(424129.7,0)</f>
        <v>424130</v>
      </c>
      <c r="L1382" s="7">
        <f>ROUND(0.000147403170497668,4)</f>
        <v>1E-4</v>
      </c>
    </row>
    <row r="1383" spans="1:12">
      <c r="A1383" s="3" t="s">
        <v>2873</v>
      </c>
      <c r="B1383" s="4" t="s">
        <v>2874</v>
      </c>
      <c r="C1383" s="4" t="s">
        <v>545</v>
      </c>
      <c r="D1383" s="4" t="s">
        <v>489</v>
      </c>
      <c r="E1383" s="4" t="s">
        <v>490</v>
      </c>
      <c r="F1383" s="4" t="s">
        <v>45</v>
      </c>
      <c r="G1383" s="4" t="s">
        <v>408</v>
      </c>
      <c r="H1383" s="5">
        <f>ROUND(1500,0)</f>
        <v>1500</v>
      </c>
      <c r="I1383" s="6">
        <f>ROUND(3347,2)</f>
        <v>3347</v>
      </c>
      <c r="J1383" s="6">
        <f>ROUND(8.407077,2)</f>
        <v>8.41</v>
      </c>
      <c r="K1383" s="5">
        <f>ROUND(422077.3,0)</f>
        <v>422077</v>
      </c>
      <c r="L1383" s="7">
        <f>ROUND(0.000146689873911437,4)</f>
        <v>1E-4</v>
      </c>
    </row>
    <row r="1384" spans="1:12">
      <c r="A1384" s="3" t="s">
        <v>2875</v>
      </c>
      <c r="B1384" s="4" t="s">
        <v>2876</v>
      </c>
      <c r="C1384" s="4" t="s">
        <v>430</v>
      </c>
      <c r="D1384" s="4" t="s">
        <v>2327</v>
      </c>
      <c r="E1384" s="4" t="s">
        <v>2328</v>
      </c>
      <c r="F1384" s="4" t="s">
        <v>18</v>
      </c>
      <c r="G1384" s="4" t="s">
        <v>408</v>
      </c>
      <c r="H1384" s="5">
        <f>ROUND(863,0)</f>
        <v>863</v>
      </c>
      <c r="I1384" s="6">
        <f>ROUND(49.24,2)</f>
        <v>49.24</v>
      </c>
      <c r="J1384" s="6">
        <f>ROUND(9.9055,2)</f>
        <v>9.91</v>
      </c>
      <c r="K1384" s="5">
        <f>ROUND(420925.51,0)</f>
        <v>420926</v>
      </c>
      <c r="L1384" s="7">
        <f>ROUND(0.000146289577733764,4)</f>
        <v>1E-4</v>
      </c>
    </row>
    <row r="1385" spans="1:12">
      <c r="A1385" s="3" t="s">
        <v>2877</v>
      </c>
      <c r="B1385" s="4" t="s">
        <v>2878</v>
      </c>
      <c r="C1385" s="4" t="s">
        <v>493</v>
      </c>
      <c r="D1385" s="4" t="s">
        <v>723</v>
      </c>
      <c r="E1385" s="4" t="s">
        <v>724</v>
      </c>
      <c r="F1385" s="4" t="s">
        <v>18</v>
      </c>
      <c r="G1385" s="4" t="s">
        <v>408</v>
      </c>
      <c r="H1385" s="5">
        <f>ROUND(1996,0)</f>
        <v>1996</v>
      </c>
      <c r="I1385" s="6">
        <f>ROUND(21.26,2)</f>
        <v>21.26</v>
      </c>
      <c r="J1385" s="6">
        <f>ROUND(9.9055,2)</f>
        <v>9.91</v>
      </c>
      <c r="K1385" s="5">
        <f>ROUND(420339.5,0)</f>
        <v>420340</v>
      </c>
      <c r="L1385" s="7">
        <f>ROUND(0.00014608591425077,4)</f>
        <v>1E-4</v>
      </c>
    </row>
    <row r="1386" spans="1:12">
      <c r="A1386" s="3" t="s">
        <v>2879</v>
      </c>
      <c r="B1386" s="4" t="s">
        <v>2880</v>
      </c>
      <c r="C1386" s="4" t="s">
        <v>400</v>
      </c>
      <c r="D1386" s="4" t="s">
        <v>407</v>
      </c>
      <c r="E1386" s="4" t="s">
        <v>35</v>
      </c>
      <c r="F1386" s="4" t="s">
        <v>21</v>
      </c>
      <c r="G1386" s="4" t="s">
        <v>408</v>
      </c>
      <c r="H1386" s="5">
        <f>ROUND(1600,0)</f>
        <v>1600</v>
      </c>
      <c r="I1386" s="6">
        <f>ROUND(28.86,2)</f>
        <v>28.86</v>
      </c>
      <c r="J1386" s="6">
        <f>ROUND(9.08595,2)</f>
        <v>9.09</v>
      </c>
      <c r="K1386" s="5">
        <f>ROUND(419552.83,0)</f>
        <v>419553</v>
      </c>
      <c r="L1386" s="7">
        <f>ROUND(0.000145812512854604,4)</f>
        <v>1E-4</v>
      </c>
    </row>
    <row r="1387" spans="1:12">
      <c r="A1387" s="3" t="s">
        <v>2881</v>
      </c>
      <c r="B1387" s="4" t="s">
        <v>2882</v>
      </c>
      <c r="C1387" s="4" t="s">
        <v>545</v>
      </c>
      <c r="D1387" s="4" t="s">
        <v>514</v>
      </c>
      <c r="E1387" s="4" t="s">
        <v>515</v>
      </c>
      <c r="F1387" s="4" t="s">
        <v>190</v>
      </c>
      <c r="G1387" s="4" t="s">
        <v>408</v>
      </c>
      <c r="H1387" s="5">
        <f>ROUND(1300,0)</f>
        <v>1300</v>
      </c>
      <c r="I1387" s="6">
        <f>ROUND(47.01,2)</f>
        <v>47.01</v>
      </c>
      <c r="J1387" s="6">
        <f>ROUND(6.86237833,2)</f>
        <v>6.86</v>
      </c>
      <c r="K1387" s="5">
        <f>ROUND(419380.53,0)</f>
        <v>419381</v>
      </c>
      <c r="L1387" s="7">
        <f>ROUND(0.000145752631251696,4)</f>
        <v>1E-4</v>
      </c>
    </row>
    <row r="1388" spans="1:12">
      <c r="A1388" s="3" t="s">
        <v>2883</v>
      </c>
      <c r="B1388" s="4" t="s">
        <v>2884</v>
      </c>
      <c r="C1388" s="4" t="s">
        <v>415</v>
      </c>
      <c r="D1388" s="4" t="s">
        <v>771</v>
      </c>
      <c r="E1388" s="4" t="s">
        <v>772</v>
      </c>
      <c r="F1388" s="4" t="s">
        <v>18</v>
      </c>
      <c r="G1388" s="4" t="s">
        <v>408</v>
      </c>
      <c r="H1388" s="5">
        <f>ROUND(80854,0)</f>
        <v>80854</v>
      </c>
      <c r="I1388" s="6">
        <f>ROUND(0.5235,2)</f>
        <v>0.52</v>
      </c>
      <c r="J1388" s="6">
        <f>ROUND(9.9055,2)</f>
        <v>9.91</v>
      </c>
      <c r="K1388" s="5">
        <f>ROUND(419270.79,0)</f>
        <v>419271</v>
      </c>
      <c r="L1388" s="7">
        <f>ROUND(0.000145714491918538,4)</f>
        <v>1E-4</v>
      </c>
    </row>
    <row r="1389" spans="1:12">
      <c r="A1389" s="3" t="s">
        <v>2885</v>
      </c>
      <c r="B1389" s="4" t="s">
        <v>2886</v>
      </c>
      <c r="C1389" s="4" t="s">
        <v>400</v>
      </c>
      <c r="D1389" s="4" t="s">
        <v>771</v>
      </c>
      <c r="E1389" s="4" t="s">
        <v>772</v>
      </c>
      <c r="F1389" s="4" t="s">
        <v>18</v>
      </c>
      <c r="G1389" s="4" t="s">
        <v>408</v>
      </c>
      <c r="H1389" s="5">
        <f>ROUND(4050,0)</f>
        <v>4050</v>
      </c>
      <c r="I1389" s="6">
        <f>ROUND(10.43,2)</f>
        <v>10.43</v>
      </c>
      <c r="J1389" s="6">
        <f>ROUND(9.9055,2)</f>
        <v>9.91</v>
      </c>
      <c r="K1389" s="5">
        <f>ROUND(418423.18,0)</f>
        <v>418423</v>
      </c>
      <c r="L1389" s="7">
        <f>ROUND(0.000145419911271756,4)</f>
        <v>1E-4</v>
      </c>
    </row>
    <row r="1390" spans="1:12">
      <c r="A1390" s="3" t="s">
        <v>2887</v>
      </c>
      <c r="B1390" s="4" t="s">
        <v>2888</v>
      </c>
      <c r="C1390" s="4" t="s">
        <v>406</v>
      </c>
      <c r="D1390" s="4" t="s">
        <v>407</v>
      </c>
      <c r="E1390" s="4" t="s">
        <v>35</v>
      </c>
      <c r="F1390" s="4" t="s">
        <v>21</v>
      </c>
      <c r="G1390" s="4" t="s">
        <v>408</v>
      </c>
      <c r="H1390" s="5">
        <f>ROUND(693,0)</f>
        <v>693</v>
      </c>
      <c r="I1390" s="6">
        <f>ROUND(65.98,2)</f>
        <v>65.98</v>
      </c>
      <c r="J1390" s="6">
        <f>ROUND(9.08595,2)</f>
        <v>9.09</v>
      </c>
      <c r="K1390" s="5">
        <f>ROUND(415447.25,0)</f>
        <v>415447</v>
      </c>
      <c r="L1390" s="7">
        <f>ROUND(0.000144385648598854,4)</f>
        <v>1E-4</v>
      </c>
    </row>
    <row r="1391" spans="1:12">
      <c r="A1391" s="3" t="s">
        <v>2889</v>
      </c>
      <c r="B1391" s="4" t="s">
        <v>2890</v>
      </c>
      <c r="C1391" s="4" t="s">
        <v>389</v>
      </c>
      <c r="D1391" s="4" t="s">
        <v>541</v>
      </c>
      <c r="E1391" s="4" t="s">
        <v>542</v>
      </c>
      <c r="F1391" s="4" t="s">
        <v>18</v>
      </c>
      <c r="G1391" s="4" t="s">
        <v>408</v>
      </c>
      <c r="H1391" s="5">
        <f>ROUND(590,0)</f>
        <v>590</v>
      </c>
      <c r="I1391" s="6">
        <f>ROUND(71,2)</f>
        <v>71</v>
      </c>
      <c r="J1391" s="6">
        <f>ROUND(9.9055,2)</f>
        <v>9.91</v>
      </c>
      <c r="K1391" s="5">
        <f>ROUND(414941.4,0)</f>
        <v>414941</v>
      </c>
      <c r="L1391" s="7">
        <f>ROUND(0.00014420984413669,4)</f>
        <v>1E-4</v>
      </c>
    </row>
    <row r="1392" spans="1:12">
      <c r="A1392" s="3" t="s">
        <v>2891</v>
      </c>
      <c r="B1392" s="4" t="s">
        <v>2892</v>
      </c>
      <c r="C1392" s="4" t="s">
        <v>566</v>
      </c>
      <c r="D1392" s="4" t="s">
        <v>456</v>
      </c>
      <c r="E1392" s="4" t="s">
        <v>457</v>
      </c>
      <c r="F1392" s="4" t="s">
        <v>26</v>
      </c>
      <c r="G1392" s="4" t="s">
        <v>408</v>
      </c>
      <c r="H1392" s="5">
        <f>ROUND(36000,0)</f>
        <v>36000</v>
      </c>
      <c r="I1392" s="6">
        <f>ROUND(9.93,2)</f>
        <v>9.93</v>
      </c>
      <c r="J1392" s="6">
        <f>ROUND(1.15901246,2)</f>
        <v>1.1599999999999999</v>
      </c>
      <c r="K1392" s="5">
        <f>ROUND(414323.77,0)</f>
        <v>414324</v>
      </c>
      <c r="L1392" s="7">
        <f>ROUND(0.000143995191354311,4)</f>
        <v>1E-4</v>
      </c>
    </row>
    <row r="1393" spans="1:12">
      <c r="A1393" s="3" t="s">
        <v>2893</v>
      </c>
      <c r="B1393" s="4" t="s">
        <v>2894</v>
      </c>
      <c r="C1393" s="4" t="s">
        <v>415</v>
      </c>
      <c r="D1393" s="4" t="s">
        <v>489</v>
      </c>
      <c r="E1393" s="4" t="s">
        <v>490</v>
      </c>
      <c r="F1393" s="4" t="s">
        <v>45</v>
      </c>
      <c r="G1393" s="4" t="s">
        <v>408</v>
      </c>
      <c r="H1393" s="5">
        <f>ROUND(16200,0)</f>
        <v>16200</v>
      </c>
      <c r="I1393" s="6">
        <f>ROUND(304,2)</f>
        <v>304</v>
      </c>
      <c r="J1393" s="6">
        <f>ROUND(8.407077,2)</f>
        <v>8.41</v>
      </c>
      <c r="K1393" s="5">
        <f>ROUND(414031.73,0)</f>
        <v>414032</v>
      </c>
      <c r="L1393" s="7">
        <f>ROUND(0.000143893694991496,4)</f>
        <v>1E-4</v>
      </c>
    </row>
    <row r="1394" spans="1:12">
      <c r="A1394" s="3" t="s">
        <v>2895</v>
      </c>
      <c r="B1394" s="4" t="s">
        <v>2896</v>
      </c>
      <c r="C1394" s="4" t="s">
        <v>400</v>
      </c>
      <c r="D1394" s="4" t="s">
        <v>655</v>
      </c>
      <c r="E1394" s="4" t="s">
        <v>656</v>
      </c>
      <c r="F1394" s="4" t="s">
        <v>26</v>
      </c>
      <c r="G1394" s="4" t="s">
        <v>408</v>
      </c>
      <c r="H1394" s="5">
        <f>ROUND(39000,0)</f>
        <v>39000</v>
      </c>
      <c r="I1394" s="6">
        <f>ROUND(9.15,2)</f>
        <v>9.15</v>
      </c>
      <c r="J1394" s="6">
        <f>ROUND(1.15901246,2)</f>
        <v>1.1599999999999999</v>
      </c>
      <c r="K1394" s="5">
        <f>ROUND(413593.6,0)</f>
        <v>413594</v>
      </c>
      <c r="L1394" s="7">
        <f>ROUND(0.000143741426119285,4)</f>
        <v>1E-4</v>
      </c>
    </row>
    <row r="1395" spans="1:12">
      <c r="A1395" s="3" t="s">
        <v>2897</v>
      </c>
      <c r="B1395" s="4" t="s">
        <v>2898</v>
      </c>
      <c r="C1395" s="4" t="s">
        <v>534</v>
      </c>
      <c r="D1395" s="4" t="s">
        <v>423</v>
      </c>
      <c r="E1395" s="4" t="s">
        <v>25</v>
      </c>
      <c r="F1395" s="4" t="s">
        <v>16</v>
      </c>
      <c r="G1395" s="4" t="s">
        <v>408</v>
      </c>
      <c r="H1395" s="5">
        <f>ROUND(203,0)</f>
        <v>203</v>
      </c>
      <c r="I1395" s="6">
        <f>ROUND(223.2,2)</f>
        <v>223.2</v>
      </c>
      <c r="J1395" s="6">
        <f>ROUND(9.11185723,2)</f>
        <v>9.11</v>
      </c>
      <c r="K1395" s="5">
        <f>ROUND(412854.61,0)</f>
        <v>412855</v>
      </c>
      <c r="L1395" s="7">
        <f>ROUND(0.000143484595557864,4)</f>
        <v>1E-4</v>
      </c>
    </row>
    <row r="1396" spans="1:12">
      <c r="A1396" s="3" t="s">
        <v>2899</v>
      </c>
      <c r="B1396" s="4" t="s">
        <v>2900</v>
      </c>
      <c r="C1396" s="4" t="s">
        <v>534</v>
      </c>
      <c r="D1396" s="4" t="s">
        <v>739</v>
      </c>
      <c r="E1396" s="4" t="s">
        <v>740</v>
      </c>
      <c r="F1396" s="4" t="s">
        <v>741</v>
      </c>
      <c r="G1396" s="4" t="s">
        <v>408</v>
      </c>
      <c r="H1396" s="5">
        <f>ROUND(437,0)</f>
        <v>437</v>
      </c>
      <c r="I1396" s="6">
        <f>ROUND(124000,2)</f>
        <v>124000</v>
      </c>
      <c r="J1396" s="6">
        <f>ROUND(0.00759599,2)</f>
        <v>0.01</v>
      </c>
      <c r="K1396" s="5">
        <f>ROUND(411611.51,0)</f>
        <v>411612</v>
      </c>
      <c r="L1396" s="7">
        <f>ROUND(0.000143052565258535,4)</f>
        <v>1E-4</v>
      </c>
    </row>
    <row r="1397" spans="1:12">
      <c r="A1397" s="3" t="s">
        <v>2901</v>
      </c>
      <c r="B1397" s="4" t="s">
        <v>2902</v>
      </c>
      <c r="C1397" s="4" t="s">
        <v>445</v>
      </c>
      <c r="D1397" s="4" t="s">
        <v>496</v>
      </c>
      <c r="E1397" s="4" t="s">
        <v>497</v>
      </c>
      <c r="F1397" s="4" t="s">
        <v>21</v>
      </c>
      <c r="G1397" s="4" t="s">
        <v>408</v>
      </c>
      <c r="H1397" s="5">
        <f>ROUND(810,0)</f>
        <v>810</v>
      </c>
      <c r="I1397" s="6">
        <f>ROUND(55.89,2)</f>
        <v>55.89</v>
      </c>
      <c r="J1397" s="6">
        <f>ROUND(9.08595,2)</f>
        <v>9.09</v>
      </c>
      <c r="K1397" s="5">
        <f>ROUND(411329.13,0)</f>
        <v>411329</v>
      </c>
      <c r="L1397" s="7">
        <f>ROUND(0.00014295442615796,4)</f>
        <v>1E-4</v>
      </c>
    </row>
    <row r="1398" spans="1:12">
      <c r="A1398" s="3" t="s">
        <v>2903</v>
      </c>
      <c r="B1398" s="4" t="s">
        <v>2904</v>
      </c>
      <c r="C1398" s="4" t="s">
        <v>389</v>
      </c>
      <c r="D1398" s="4" t="s">
        <v>407</v>
      </c>
      <c r="E1398" s="4" t="s">
        <v>35</v>
      </c>
      <c r="F1398" s="4" t="s">
        <v>21</v>
      </c>
      <c r="G1398" s="4" t="s">
        <v>408</v>
      </c>
      <c r="H1398" s="5">
        <f>ROUND(500,0)</f>
        <v>500</v>
      </c>
      <c r="I1398" s="6">
        <f>ROUND(90.44,2)</f>
        <v>90.44</v>
      </c>
      <c r="J1398" s="6">
        <f>ROUND(9.08595,2)</f>
        <v>9.09</v>
      </c>
      <c r="K1398" s="5">
        <f>ROUND(410866.66,0)</f>
        <v>410867</v>
      </c>
      <c r="L1398" s="7">
        <f>ROUND(0.000142793698097038,4)</f>
        <v>1E-4</v>
      </c>
    </row>
    <row r="1399" spans="1:12">
      <c r="A1399" s="3" t="s">
        <v>2905</v>
      </c>
      <c r="B1399" s="4" t="s">
        <v>2906</v>
      </c>
      <c r="C1399" s="4" t="s">
        <v>545</v>
      </c>
      <c r="D1399" s="4" t="s">
        <v>395</v>
      </c>
      <c r="E1399" s="4" t="s">
        <v>396</v>
      </c>
      <c r="F1399" s="4" t="s">
        <v>397</v>
      </c>
      <c r="G1399" s="4" t="s">
        <v>408</v>
      </c>
      <c r="H1399" s="5">
        <f>ROUND(5791,0)</f>
        <v>5791</v>
      </c>
      <c r="I1399" s="6">
        <f>ROUND(32.52,2)</f>
        <v>32.520000000000003</v>
      </c>
      <c r="J1399" s="6">
        <f>ROUND(2.18129969,2)</f>
        <v>2.1800000000000002</v>
      </c>
      <c r="K1399" s="5">
        <f>ROUND(410789.6,0)</f>
        <v>410790</v>
      </c>
      <c r="L1399" s="7">
        <f>ROUND(0.000142766916458501,4)</f>
        <v>1E-4</v>
      </c>
    </row>
    <row r="1400" spans="1:12">
      <c r="A1400" s="3" t="s">
        <v>2907</v>
      </c>
      <c r="B1400" s="4" t="s">
        <v>2908</v>
      </c>
      <c r="C1400" s="4" t="s">
        <v>406</v>
      </c>
      <c r="D1400" s="4" t="s">
        <v>407</v>
      </c>
      <c r="E1400" s="4" t="s">
        <v>35</v>
      </c>
      <c r="F1400" s="4" t="s">
        <v>21</v>
      </c>
      <c r="G1400" s="4" t="s">
        <v>408</v>
      </c>
      <c r="H1400" s="5">
        <f>ROUND(1509,0)</f>
        <v>1509</v>
      </c>
      <c r="I1400" s="6">
        <f>ROUND(29.91,2)</f>
        <v>29.91</v>
      </c>
      <c r="J1400" s="6">
        <f>ROUND(9.08595,2)</f>
        <v>9.09</v>
      </c>
      <c r="K1400" s="5">
        <f>ROUND(410086.99,0)</f>
        <v>410087</v>
      </c>
      <c r="L1400" s="7">
        <f>ROUND(0.000142522729499598,4)</f>
        <v>1E-4</v>
      </c>
    </row>
    <row r="1401" spans="1:12">
      <c r="A1401" s="3" t="s">
        <v>2909</v>
      </c>
      <c r="B1401" s="4" t="s">
        <v>2910</v>
      </c>
      <c r="C1401" s="4" t="s">
        <v>406</v>
      </c>
      <c r="D1401" s="4" t="s">
        <v>489</v>
      </c>
      <c r="E1401" s="4" t="s">
        <v>490</v>
      </c>
      <c r="F1401" s="4" t="s">
        <v>45</v>
      </c>
      <c r="G1401" s="4" t="s">
        <v>408</v>
      </c>
      <c r="H1401" s="5">
        <f>ROUND(6900,0)</f>
        <v>6900</v>
      </c>
      <c r="I1401" s="6">
        <f>ROUND(702,2)</f>
        <v>702</v>
      </c>
      <c r="J1401" s="6">
        <f>ROUND(8.407077,2)</f>
        <v>8.41</v>
      </c>
      <c r="K1401" s="5">
        <f>ROUND(407222,0)</f>
        <v>407222</v>
      </c>
      <c r="L1401" s="7">
        <f>ROUND(0.000141527023211064,4)</f>
        <v>1E-4</v>
      </c>
    </row>
    <row r="1402" spans="1:12">
      <c r="A1402" s="3" t="s">
        <v>2911</v>
      </c>
      <c r="B1402" s="4" t="s">
        <v>2912</v>
      </c>
      <c r="C1402" s="4" t="s">
        <v>493</v>
      </c>
      <c r="D1402" s="4" t="s">
        <v>1217</v>
      </c>
      <c r="E1402" s="4" t="s">
        <v>1218</v>
      </c>
      <c r="F1402" s="4" t="s">
        <v>26</v>
      </c>
      <c r="G1402" s="4" t="s">
        <v>408</v>
      </c>
      <c r="H1402" s="5">
        <f>ROUND(52000,0)</f>
        <v>52000</v>
      </c>
      <c r="I1402" s="6">
        <f>ROUND(6.75,2)</f>
        <v>6.75</v>
      </c>
      <c r="J1402" s="6">
        <f>ROUND(1.15901246,2)</f>
        <v>1.1599999999999999</v>
      </c>
      <c r="K1402" s="5">
        <f>ROUND(406813.37,0)</f>
        <v>406813</v>
      </c>
      <c r="L1402" s="7">
        <f>ROUND(0.000141385006847766,4)</f>
        <v>1E-4</v>
      </c>
    </row>
    <row r="1403" spans="1:12">
      <c r="A1403" s="3" t="s">
        <v>2913</v>
      </c>
      <c r="B1403" s="4" t="s">
        <v>2914</v>
      </c>
      <c r="C1403" s="4" t="s">
        <v>430</v>
      </c>
      <c r="D1403" s="4" t="s">
        <v>407</v>
      </c>
      <c r="E1403" s="4" t="s">
        <v>35</v>
      </c>
      <c r="F1403" s="4" t="s">
        <v>21</v>
      </c>
      <c r="G1403" s="4" t="s">
        <v>408</v>
      </c>
      <c r="H1403" s="5">
        <f>ROUND(2100,0)</f>
        <v>2100</v>
      </c>
      <c r="I1403" s="6">
        <f>ROUND(21.2,2)</f>
        <v>21.2</v>
      </c>
      <c r="J1403" s="6">
        <f>ROUND(9.08595,2)</f>
        <v>9.09</v>
      </c>
      <c r="K1403" s="5">
        <f>ROUND(404506.49,0)</f>
        <v>404506</v>
      </c>
      <c r="L1403" s="7">
        <f>ROUND(0.000140583267601593,4)</f>
        <v>1E-4</v>
      </c>
    </row>
    <row r="1404" spans="1:12">
      <c r="A1404" s="3" t="s">
        <v>2915</v>
      </c>
      <c r="B1404" s="4" t="s">
        <v>2916</v>
      </c>
      <c r="C1404" s="4" t="s">
        <v>534</v>
      </c>
      <c r="D1404" s="4" t="s">
        <v>1111</v>
      </c>
      <c r="E1404" s="4" t="s">
        <v>1112</v>
      </c>
      <c r="F1404" s="4" t="s">
        <v>18</v>
      </c>
      <c r="G1404" s="4" t="s">
        <v>408</v>
      </c>
      <c r="H1404" s="5">
        <f>ROUND(3972,0)</f>
        <v>3972</v>
      </c>
      <c r="I1404" s="6">
        <f>ROUND(10.275,2)</f>
        <v>10.28</v>
      </c>
      <c r="J1404" s="6">
        <f>ROUND(9.9055,2)</f>
        <v>9.91</v>
      </c>
      <c r="K1404" s="5">
        <f>ROUND(404266.24,0)</f>
        <v>404266</v>
      </c>
      <c r="L1404" s="7">
        <f>ROUND(0.000140499770473917,4)</f>
        <v>1E-4</v>
      </c>
    </row>
    <row r="1405" spans="1:12">
      <c r="A1405" s="3" t="s">
        <v>2917</v>
      </c>
      <c r="B1405" s="4" t="s">
        <v>2918</v>
      </c>
      <c r="C1405" s="4" t="s">
        <v>534</v>
      </c>
      <c r="D1405" s="4" t="s">
        <v>407</v>
      </c>
      <c r="E1405" s="4" t="s">
        <v>35</v>
      </c>
      <c r="F1405" s="4" t="s">
        <v>21</v>
      </c>
      <c r="G1405" s="4" t="s">
        <v>408</v>
      </c>
      <c r="H1405" s="5">
        <f>ROUND(619,0)</f>
        <v>619</v>
      </c>
      <c r="I1405" s="6">
        <f>ROUND(71.86,2)</f>
        <v>71.86</v>
      </c>
      <c r="J1405" s="6">
        <f>ROUND(9.08595,2)</f>
        <v>9.09</v>
      </c>
      <c r="K1405" s="5">
        <f>ROUND(404155.23,0)</f>
        <v>404155</v>
      </c>
      <c r="L1405" s="7">
        <f>ROUND(0.000140461189761562,4)</f>
        <v>1E-4</v>
      </c>
    </row>
    <row r="1406" spans="1:12">
      <c r="A1406" s="3" t="s">
        <v>2919</v>
      </c>
      <c r="B1406" s="4" t="s">
        <v>2920</v>
      </c>
      <c r="C1406" s="4" t="s">
        <v>534</v>
      </c>
      <c r="D1406" s="4" t="s">
        <v>486</v>
      </c>
      <c r="E1406" s="4" t="s">
        <v>30</v>
      </c>
      <c r="F1406" s="4" t="s">
        <v>21</v>
      </c>
      <c r="G1406" s="4" t="s">
        <v>408</v>
      </c>
      <c r="H1406" s="5">
        <f>ROUND(2087,0)</f>
        <v>2087</v>
      </c>
      <c r="I1406" s="6">
        <f>ROUND(21.25,2)</f>
        <v>21.25</v>
      </c>
      <c r="J1406" s="6">
        <f>ROUND(9.08595,2)</f>
        <v>9.09</v>
      </c>
      <c r="K1406" s="5">
        <f>ROUND(402950.53,0)</f>
        <v>402951</v>
      </c>
      <c r="L1406" s="7">
        <f>ROUND(0.000140042505100953,4)</f>
        <v>1E-4</v>
      </c>
    </row>
    <row r="1407" spans="1:12">
      <c r="A1407" s="3" t="s">
        <v>2921</v>
      </c>
      <c r="B1407" s="4" t="s">
        <v>2922</v>
      </c>
      <c r="C1407" s="4" t="s">
        <v>415</v>
      </c>
      <c r="D1407" s="4" t="s">
        <v>1119</v>
      </c>
      <c r="E1407" s="4" t="s">
        <v>1120</v>
      </c>
      <c r="F1407" s="4" t="s">
        <v>95</v>
      </c>
      <c r="G1407" s="4" t="s">
        <v>408</v>
      </c>
      <c r="H1407" s="5">
        <f>ROUND(22582,0)</f>
        <v>22582</v>
      </c>
      <c r="I1407" s="6">
        <f>ROUND(38.63,2)</f>
        <v>38.630000000000003</v>
      </c>
      <c r="J1407" s="6">
        <f>ROUND(0.4601869,2)</f>
        <v>0.46</v>
      </c>
      <c r="K1407" s="5">
        <f>ROUND(401440.66,0)</f>
        <v>401441</v>
      </c>
      <c r="L1407" s="7">
        <f>ROUND(0.000139517760842206,4)</f>
        <v>1E-4</v>
      </c>
    </row>
    <row r="1408" spans="1:12">
      <c r="A1408" s="3" t="s">
        <v>2923</v>
      </c>
      <c r="B1408" s="4" t="s">
        <v>2924</v>
      </c>
      <c r="C1408" s="4" t="s">
        <v>400</v>
      </c>
      <c r="D1408" s="4" t="s">
        <v>514</v>
      </c>
      <c r="E1408" s="4" t="s">
        <v>515</v>
      </c>
      <c r="F1408" s="4" t="s">
        <v>190</v>
      </c>
      <c r="G1408" s="4" t="s">
        <v>408</v>
      </c>
      <c r="H1408" s="5">
        <f>ROUND(100,0)</f>
        <v>100</v>
      </c>
      <c r="I1408" s="6">
        <f>ROUND(584,2)</f>
        <v>584</v>
      </c>
      <c r="J1408" s="6">
        <f>ROUND(6.86237833,2)</f>
        <v>6.86</v>
      </c>
      <c r="K1408" s="5">
        <f>ROUND(400762.89,0)</f>
        <v>400763</v>
      </c>
      <c r="L1408" s="7">
        <f>ROUND(0.000139282206843351,4)</f>
        <v>1E-4</v>
      </c>
    </row>
    <row r="1409" spans="1:12">
      <c r="A1409" s="3" t="s">
        <v>2925</v>
      </c>
      <c r="B1409" s="4" t="s">
        <v>2926</v>
      </c>
      <c r="C1409" s="4" t="s">
        <v>422</v>
      </c>
      <c r="D1409" s="4" t="s">
        <v>489</v>
      </c>
      <c r="E1409" s="4" t="s">
        <v>490</v>
      </c>
      <c r="F1409" s="4" t="s">
        <v>45</v>
      </c>
      <c r="G1409" s="4" t="s">
        <v>408</v>
      </c>
      <c r="H1409" s="5">
        <f>ROUND(1400,0)</f>
        <v>1400</v>
      </c>
      <c r="I1409" s="6">
        <f>ROUND(3400,2)</f>
        <v>3400</v>
      </c>
      <c r="J1409" s="6">
        <f>ROUND(8.407077,2)</f>
        <v>8.41</v>
      </c>
      <c r="K1409" s="5">
        <f>ROUND(400176.87,0)</f>
        <v>400177</v>
      </c>
      <c r="L1409" s="7">
        <f>ROUND(0.00013907853988493,4)</f>
        <v>1E-4</v>
      </c>
    </row>
    <row r="1410" spans="1:12">
      <c r="A1410" s="3" t="s">
        <v>2927</v>
      </c>
      <c r="B1410" s="4" t="s">
        <v>2928</v>
      </c>
      <c r="C1410" s="4" t="s">
        <v>406</v>
      </c>
      <c r="D1410" s="4" t="s">
        <v>489</v>
      </c>
      <c r="E1410" s="4" t="s">
        <v>490</v>
      </c>
      <c r="F1410" s="4" t="s">
        <v>45</v>
      </c>
      <c r="G1410" s="4" t="s">
        <v>408</v>
      </c>
      <c r="H1410" s="5">
        <f>ROUND(1200,0)</f>
        <v>1200</v>
      </c>
      <c r="I1410" s="6">
        <f>ROUND(3965,2)</f>
        <v>3965</v>
      </c>
      <c r="J1410" s="6">
        <f>ROUND(8.407077,2)</f>
        <v>8.41</v>
      </c>
      <c r="K1410" s="5">
        <f>ROUND(400008.72,0)</f>
        <v>400009</v>
      </c>
      <c r="L1410" s="7">
        <f>ROUND(0.000139020100584123,4)</f>
        <v>1E-4</v>
      </c>
    </row>
    <row r="1411" spans="1:12">
      <c r="A1411" s="3" t="s">
        <v>2929</v>
      </c>
      <c r="B1411" s="4" t="s">
        <v>2930</v>
      </c>
      <c r="C1411" s="4" t="s">
        <v>406</v>
      </c>
      <c r="D1411" s="4" t="s">
        <v>407</v>
      </c>
      <c r="E1411" s="4" t="s">
        <v>35</v>
      </c>
      <c r="F1411" s="4" t="s">
        <v>21</v>
      </c>
      <c r="G1411" s="4" t="s">
        <v>408</v>
      </c>
      <c r="H1411" s="5">
        <f>ROUND(300,0)</f>
        <v>300</v>
      </c>
      <c r="I1411" s="6">
        <f>ROUND(145.97,2)</f>
        <v>145.97</v>
      </c>
      <c r="J1411" s="6">
        <f>ROUND(9.08595,2)</f>
        <v>9.09</v>
      </c>
      <c r="K1411" s="5">
        <f>ROUND(397882.84,0)</f>
        <v>397883</v>
      </c>
      <c r="L1411" s="7">
        <f>ROUND(0.00013828126656213,4)</f>
        <v>1E-4</v>
      </c>
    </row>
    <row r="1412" spans="1:12">
      <c r="A1412" s="3" t="s">
        <v>2797</v>
      </c>
      <c r="B1412" s="4" t="s">
        <v>2931</v>
      </c>
      <c r="C1412" s="4" t="s">
        <v>534</v>
      </c>
      <c r="D1412" s="4" t="s">
        <v>1024</v>
      </c>
      <c r="E1412" s="4" t="s">
        <v>1025</v>
      </c>
      <c r="F1412" s="4" t="s">
        <v>1026</v>
      </c>
      <c r="G1412" s="4" t="s">
        <v>408</v>
      </c>
      <c r="H1412" s="5">
        <f>ROUND(4222,0)</f>
        <v>4222</v>
      </c>
      <c r="I1412" s="6">
        <f>ROUND(101.7,2)</f>
        <v>101.7</v>
      </c>
      <c r="J1412" s="6">
        <f>ROUND(0.92410673,2)</f>
        <v>0.92</v>
      </c>
      <c r="K1412" s="5">
        <f>ROUND(396790.55,0)</f>
        <v>396791</v>
      </c>
      <c r="L1412" s="7">
        <f>ROUND(0.000137901649173622,4)</f>
        <v>1E-4</v>
      </c>
    </row>
    <row r="1413" spans="1:12">
      <c r="A1413" s="3" t="s">
        <v>2932</v>
      </c>
      <c r="B1413" s="4" t="s">
        <v>2933</v>
      </c>
      <c r="C1413" s="4" t="s">
        <v>430</v>
      </c>
      <c r="D1413" s="4" t="s">
        <v>390</v>
      </c>
      <c r="E1413" s="4" t="s">
        <v>391</v>
      </c>
      <c r="F1413" s="4" t="s">
        <v>72</v>
      </c>
      <c r="G1413" s="4" t="s">
        <v>408</v>
      </c>
      <c r="H1413" s="5">
        <f>ROUND(2460,0)</f>
        <v>2460</v>
      </c>
      <c r="I1413" s="6">
        <f>ROUND(26.32,2)</f>
        <v>26.32</v>
      </c>
      <c r="J1413" s="6">
        <f>ROUND(6.12812423,2)</f>
        <v>6.13</v>
      </c>
      <c r="K1413" s="5">
        <f>ROUND(396778.89,0)</f>
        <v>396779</v>
      </c>
      <c r="L1413" s="7">
        <f>ROUND(0.000137897596826031,4)</f>
        <v>1E-4</v>
      </c>
    </row>
    <row r="1414" spans="1:12">
      <c r="A1414" s="3" t="s">
        <v>2934</v>
      </c>
      <c r="B1414" s="4" t="s">
        <v>2935</v>
      </c>
      <c r="C1414" s="4" t="s">
        <v>545</v>
      </c>
      <c r="D1414" s="4" t="s">
        <v>717</v>
      </c>
      <c r="E1414" s="4" t="s">
        <v>718</v>
      </c>
      <c r="F1414" s="4" t="s">
        <v>175</v>
      </c>
      <c r="G1414" s="4" t="s">
        <v>408</v>
      </c>
      <c r="H1414" s="5">
        <f>ROUND(1765,0)</f>
        <v>1765</v>
      </c>
      <c r="I1414" s="6">
        <f>ROUND(37447,2)</f>
        <v>37447</v>
      </c>
      <c r="J1414" s="6">
        <f>ROUND(0.59923836,2)</f>
        <v>0.6</v>
      </c>
      <c r="K1414" s="5">
        <f>ROUND(396060.33,0)</f>
        <v>396060</v>
      </c>
      <c r="L1414" s="7">
        <f>ROUND(0.000137647866561462,4)</f>
        <v>1E-4</v>
      </c>
    </row>
    <row r="1415" spans="1:12">
      <c r="A1415" s="3" t="s">
        <v>2936</v>
      </c>
      <c r="B1415" s="4" t="s">
        <v>2937</v>
      </c>
      <c r="C1415" s="4" t="s">
        <v>389</v>
      </c>
      <c r="D1415" s="4" t="s">
        <v>390</v>
      </c>
      <c r="E1415" s="4" t="s">
        <v>391</v>
      </c>
      <c r="F1415" s="4" t="s">
        <v>72</v>
      </c>
      <c r="G1415" s="4" t="s">
        <v>408</v>
      </c>
      <c r="H1415" s="5">
        <f>ROUND(5355,0)</f>
        <v>5355</v>
      </c>
      <c r="I1415" s="6">
        <f>ROUND(12.05,2)</f>
        <v>12.05</v>
      </c>
      <c r="J1415" s="6">
        <f>ROUND(6.12812423,2)</f>
        <v>6.13</v>
      </c>
      <c r="K1415" s="5">
        <f>ROUND(395434.07,0)</f>
        <v>395434</v>
      </c>
      <c r="L1415" s="7">
        <f>ROUND(0.000137430214485797,4)</f>
        <v>1E-4</v>
      </c>
    </row>
    <row r="1416" spans="1:12">
      <c r="A1416" s="3" t="s">
        <v>2938</v>
      </c>
      <c r="B1416" s="4" t="s">
        <v>2939</v>
      </c>
      <c r="C1416" s="4" t="s">
        <v>400</v>
      </c>
      <c r="D1416" s="4" t="s">
        <v>577</v>
      </c>
      <c r="E1416" s="4" t="s">
        <v>578</v>
      </c>
      <c r="F1416" s="4" t="s">
        <v>18</v>
      </c>
      <c r="G1416" s="4" t="s">
        <v>408</v>
      </c>
      <c r="H1416" s="5">
        <f>ROUND(10455,0)</f>
        <v>10455</v>
      </c>
      <c r="I1416" s="6">
        <f>ROUND(3.817,2)</f>
        <v>3.82</v>
      </c>
      <c r="J1416" s="6">
        <f>ROUND(9.9055,2)</f>
        <v>9.91</v>
      </c>
      <c r="K1416" s="5">
        <f>ROUND(395296.21,0)</f>
        <v>395296</v>
      </c>
      <c r="L1416" s="7">
        <f>ROUND(0.000137382302252618,4)</f>
        <v>1E-4</v>
      </c>
    </row>
    <row r="1417" spans="1:12">
      <c r="A1417" s="3" t="s">
        <v>2940</v>
      </c>
      <c r="B1417" s="4" t="s">
        <v>2941</v>
      </c>
      <c r="C1417" s="4" t="s">
        <v>389</v>
      </c>
      <c r="D1417" s="4" t="s">
        <v>489</v>
      </c>
      <c r="E1417" s="4" t="s">
        <v>490</v>
      </c>
      <c r="F1417" s="4" t="s">
        <v>45</v>
      </c>
      <c r="G1417" s="4" t="s">
        <v>408</v>
      </c>
      <c r="H1417" s="5">
        <f>ROUND(2400,0)</f>
        <v>2400</v>
      </c>
      <c r="I1417" s="6">
        <f>ROUND(1958,2)</f>
        <v>1958</v>
      </c>
      <c r="J1417" s="6">
        <f>ROUND(8.407077,2)</f>
        <v>8.41</v>
      </c>
      <c r="K1417" s="5">
        <f>ROUND(395065.36,0)</f>
        <v>395065</v>
      </c>
      <c r="L1417" s="7">
        <f>ROUND(0.000137302072026087,4)</f>
        <v>1E-4</v>
      </c>
    </row>
    <row r="1418" spans="1:12">
      <c r="A1418" s="3" t="s">
        <v>2942</v>
      </c>
      <c r="B1418" s="4" t="s">
        <v>2943</v>
      </c>
      <c r="C1418" s="4" t="s">
        <v>400</v>
      </c>
      <c r="D1418" s="4" t="s">
        <v>489</v>
      </c>
      <c r="E1418" s="4" t="s">
        <v>490</v>
      </c>
      <c r="F1418" s="4" t="s">
        <v>45</v>
      </c>
      <c r="G1418" s="4" t="s">
        <v>408</v>
      </c>
      <c r="H1418" s="5">
        <f>ROUND(4100,0)</f>
        <v>4100</v>
      </c>
      <c r="I1418" s="6">
        <f>ROUND(1145,2)</f>
        <v>1145</v>
      </c>
      <c r="J1418" s="6">
        <f>ROUND(8.407077,2)</f>
        <v>8.41</v>
      </c>
      <c r="K1418" s="5">
        <f>ROUND(394670.23,0)</f>
        <v>394670</v>
      </c>
      <c r="L1418" s="7">
        <f>ROUND(0.000137164747488902,4)</f>
        <v>1E-4</v>
      </c>
    </row>
    <row r="1419" spans="1:12">
      <c r="A1419" s="3" t="s">
        <v>2944</v>
      </c>
      <c r="B1419" s="4" t="s">
        <v>2945</v>
      </c>
      <c r="C1419" s="4" t="s">
        <v>422</v>
      </c>
      <c r="D1419" s="4" t="s">
        <v>423</v>
      </c>
      <c r="E1419" s="4" t="s">
        <v>25</v>
      </c>
      <c r="F1419" s="4" t="s">
        <v>16</v>
      </c>
      <c r="G1419" s="4" t="s">
        <v>408</v>
      </c>
      <c r="H1419" s="5">
        <f>ROUND(21,0)</f>
        <v>21</v>
      </c>
      <c r="I1419" s="6">
        <f>ROUND(2058,2)</f>
        <v>2058</v>
      </c>
      <c r="J1419" s="6">
        <f>ROUND(9.11185723,2)</f>
        <v>9.11</v>
      </c>
      <c r="K1419" s="5">
        <f>ROUND(393796.25,0)</f>
        <v>393796</v>
      </c>
      <c r="L1419" s="7">
        <f>ROUND(0.00013686100214178,4)</f>
        <v>1E-4</v>
      </c>
    </row>
    <row r="1420" spans="1:12">
      <c r="A1420" s="3" t="s">
        <v>2946</v>
      </c>
      <c r="B1420" s="4" t="s">
        <v>2947</v>
      </c>
      <c r="C1420" s="4" t="s">
        <v>534</v>
      </c>
      <c r="D1420" s="4" t="s">
        <v>1221</v>
      </c>
      <c r="E1420" s="4" t="s">
        <v>1222</v>
      </c>
      <c r="F1420" s="4" t="s">
        <v>1223</v>
      </c>
      <c r="G1420" s="4" t="s">
        <v>408</v>
      </c>
      <c r="H1420" s="5">
        <f>ROUND(10100,0)</f>
        <v>10100</v>
      </c>
      <c r="I1420" s="6">
        <f>ROUND(5.93,2)</f>
        <v>5.93</v>
      </c>
      <c r="J1420" s="6">
        <f>ROUND(6.57015886,2)</f>
        <v>6.57</v>
      </c>
      <c r="K1420" s="5">
        <f>ROUND(393506.52,0)</f>
        <v>393507</v>
      </c>
      <c r="L1420" s="7">
        <f>ROUND(0.000136760308602543,4)</f>
        <v>1E-4</v>
      </c>
    </row>
    <row r="1421" spans="1:12">
      <c r="A1421" s="3" t="s">
        <v>2948</v>
      </c>
      <c r="B1421" s="4" t="s">
        <v>2949</v>
      </c>
      <c r="C1421" s="4" t="s">
        <v>422</v>
      </c>
      <c r="D1421" s="4" t="s">
        <v>489</v>
      </c>
      <c r="E1421" s="4" t="s">
        <v>490</v>
      </c>
      <c r="F1421" s="4" t="s">
        <v>45</v>
      </c>
      <c r="G1421" s="4" t="s">
        <v>408</v>
      </c>
      <c r="H1421" s="5">
        <f>ROUND(600,0)</f>
        <v>600</v>
      </c>
      <c r="I1421" s="6">
        <f>ROUND(7800,2)</f>
        <v>7800</v>
      </c>
      <c r="J1421" s="6">
        <f>ROUND(8.407077,2)</f>
        <v>8.41</v>
      </c>
      <c r="K1421" s="5">
        <f>ROUND(393451.2,0)</f>
        <v>393451</v>
      </c>
      <c r="L1421" s="7">
        <f>ROUND(0.000136741082541761,4)</f>
        <v>1E-4</v>
      </c>
    </row>
    <row r="1422" spans="1:12">
      <c r="A1422" s="3" t="s">
        <v>2950</v>
      </c>
      <c r="B1422" s="4" t="s">
        <v>2951</v>
      </c>
      <c r="C1422" s="4" t="s">
        <v>406</v>
      </c>
      <c r="D1422" s="4" t="s">
        <v>407</v>
      </c>
      <c r="E1422" s="4" t="s">
        <v>35</v>
      </c>
      <c r="F1422" s="4" t="s">
        <v>21</v>
      </c>
      <c r="G1422" s="4" t="s">
        <v>408</v>
      </c>
      <c r="H1422" s="5">
        <f>ROUND(500,0)</f>
        <v>500</v>
      </c>
      <c r="I1422" s="6">
        <f>ROUND(85.88,2)</f>
        <v>85.88</v>
      </c>
      <c r="J1422" s="6">
        <f>ROUND(9.08595,2)</f>
        <v>9.09</v>
      </c>
      <c r="K1422" s="5">
        <f>ROUND(390150.69,0)</f>
        <v>390151</v>
      </c>
      <c r="L1422" s="7">
        <f>ROUND(0.000135594014467397,4)</f>
        <v>1E-4</v>
      </c>
    </row>
    <row r="1423" spans="1:12">
      <c r="A1423" s="3" t="s">
        <v>2952</v>
      </c>
      <c r="B1423" s="4" t="s">
        <v>2953</v>
      </c>
      <c r="C1423" s="4" t="s">
        <v>406</v>
      </c>
      <c r="D1423" s="4" t="s">
        <v>1246</v>
      </c>
      <c r="E1423" s="4" t="s">
        <v>1247</v>
      </c>
      <c r="F1423" s="4" t="s">
        <v>1248</v>
      </c>
      <c r="G1423" s="4" t="s">
        <v>408</v>
      </c>
      <c r="H1423" s="5">
        <f>ROUND(292,0)</f>
        <v>292</v>
      </c>
      <c r="I1423" s="6">
        <f>ROUND(51100,2)</f>
        <v>51100</v>
      </c>
      <c r="J1423" s="6">
        <f>ROUND(2.6140712,2)</f>
        <v>2.61</v>
      </c>
      <c r="K1423" s="5">
        <f>ROUND(390050.79,0)</f>
        <v>390051</v>
      </c>
      <c r="L1423" s="7">
        <f>ROUND(0.000135559294954162,4)</f>
        <v>1E-4</v>
      </c>
    </row>
    <row r="1424" spans="1:12">
      <c r="A1424" s="3" t="s">
        <v>2954</v>
      </c>
      <c r="B1424" s="4" t="s">
        <v>2955</v>
      </c>
      <c r="C1424" s="4" t="s">
        <v>406</v>
      </c>
      <c r="D1424" s="4" t="s">
        <v>407</v>
      </c>
      <c r="E1424" s="4" t="s">
        <v>35</v>
      </c>
      <c r="F1424" s="4" t="s">
        <v>21</v>
      </c>
      <c r="G1424" s="4" t="s">
        <v>408</v>
      </c>
      <c r="H1424" s="5">
        <f>ROUND(300,0)</f>
        <v>300</v>
      </c>
      <c r="I1424" s="6">
        <f>ROUND(142.99,2)</f>
        <v>142.99</v>
      </c>
      <c r="J1424" s="6">
        <f>ROUND(9.08595,2)</f>
        <v>9.09</v>
      </c>
      <c r="K1424" s="5">
        <f>ROUND(389760,0)</f>
        <v>389760</v>
      </c>
      <c r="L1424" s="7">
        <f>ROUND(0.00013545823301969,4)</f>
        <v>1E-4</v>
      </c>
    </row>
    <row r="1425" spans="1:12">
      <c r="A1425" s="3" t="s">
        <v>2956</v>
      </c>
      <c r="B1425" s="4" t="s">
        <v>2957</v>
      </c>
      <c r="C1425" s="4" t="s">
        <v>545</v>
      </c>
      <c r="D1425" s="4" t="s">
        <v>1059</v>
      </c>
      <c r="E1425" s="4" t="s">
        <v>1060</v>
      </c>
      <c r="F1425" s="4" t="s">
        <v>279</v>
      </c>
      <c r="G1425" s="4" t="s">
        <v>408</v>
      </c>
      <c r="H1425" s="5">
        <f>ROUND(12155,0)</f>
        <v>12155</v>
      </c>
      <c r="I1425" s="6">
        <f>ROUND(32,2)</f>
        <v>32</v>
      </c>
      <c r="J1425" s="6">
        <f>ROUND(1,2)</f>
        <v>1</v>
      </c>
      <c r="K1425" s="5">
        <f>ROUND(388960,0)</f>
        <v>388960</v>
      </c>
      <c r="L1425" s="7">
        <f>ROUND(0.000135180198879666,4)</f>
        <v>1E-4</v>
      </c>
    </row>
    <row r="1426" spans="1:12">
      <c r="A1426" s="3" t="s">
        <v>2958</v>
      </c>
      <c r="B1426" s="4" t="s">
        <v>2959</v>
      </c>
      <c r="C1426" s="4" t="s">
        <v>545</v>
      </c>
      <c r="D1426" s="4" t="s">
        <v>655</v>
      </c>
      <c r="E1426" s="4" t="s">
        <v>656</v>
      </c>
      <c r="F1426" s="4" t="s">
        <v>26</v>
      </c>
      <c r="G1426" s="4" t="s">
        <v>408</v>
      </c>
      <c r="H1426" s="5">
        <f>ROUND(37000,0)</f>
        <v>37000</v>
      </c>
      <c r="I1426" s="6">
        <f>ROUND(9.07,2)</f>
        <v>9.07</v>
      </c>
      <c r="J1426" s="6">
        <f>ROUND(1.15901246,2)</f>
        <v>1.1599999999999999</v>
      </c>
      <c r="K1426" s="5">
        <f>ROUND(388952.99,0)</f>
        <v>388953</v>
      </c>
      <c r="L1426" s="7">
        <f>ROUND(0.000135177762605514,4)</f>
        <v>1E-4</v>
      </c>
    </row>
    <row r="1427" spans="1:12">
      <c r="A1427" s="3" t="s">
        <v>2960</v>
      </c>
      <c r="B1427" s="4" t="s">
        <v>2961</v>
      </c>
      <c r="C1427" s="4" t="s">
        <v>415</v>
      </c>
      <c r="D1427" s="4" t="s">
        <v>655</v>
      </c>
      <c r="E1427" s="4" t="s">
        <v>656</v>
      </c>
      <c r="F1427" s="4" t="s">
        <v>26</v>
      </c>
      <c r="G1427" s="4" t="s">
        <v>408</v>
      </c>
      <c r="H1427" s="5">
        <f>ROUND(188000,0)</f>
        <v>188000</v>
      </c>
      <c r="I1427" s="6">
        <f>ROUND(1.78,2)</f>
        <v>1.78</v>
      </c>
      <c r="J1427" s="6">
        <f>ROUND(1.15901246,2)</f>
        <v>1.1599999999999999</v>
      </c>
      <c r="K1427" s="5">
        <f>ROUND(387851.93,0)</f>
        <v>387852</v>
      </c>
      <c r="L1427" s="7">
        <f>ROUND(0.000134795097267745,4)</f>
        <v>1E-4</v>
      </c>
    </row>
    <row r="1428" spans="1:12">
      <c r="A1428" s="3" t="s">
        <v>2962</v>
      </c>
      <c r="B1428" s="4" t="s">
        <v>2963</v>
      </c>
      <c r="C1428" s="4" t="s">
        <v>415</v>
      </c>
      <c r="D1428" s="4" t="s">
        <v>577</v>
      </c>
      <c r="E1428" s="4" t="s">
        <v>578</v>
      </c>
      <c r="F1428" s="4" t="s">
        <v>18</v>
      </c>
      <c r="G1428" s="4" t="s">
        <v>408</v>
      </c>
      <c r="H1428" s="5">
        <f>ROUND(13649,0)</f>
        <v>13649</v>
      </c>
      <c r="I1428" s="6">
        <f>ROUND(2.861,2)</f>
        <v>2.86</v>
      </c>
      <c r="J1428" s="6">
        <f>ROUND(9.9055,2)</f>
        <v>9.91</v>
      </c>
      <c r="K1428" s="5">
        <f>ROUND(386807.69,0)</f>
        <v>386808</v>
      </c>
      <c r="L1428" s="7">
        <f>ROUND(0.000134432179304772,4)</f>
        <v>1E-4</v>
      </c>
    </row>
    <row r="1429" spans="1:12">
      <c r="A1429" s="3" t="s">
        <v>2964</v>
      </c>
      <c r="B1429" s="4" t="s">
        <v>2965</v>
      </c>
      <c r="C1429" s="4" t="s">
        <v>545</v>
      </c>
      <c r="D1429" s="4" t="s">
        <v>717</v>
      </c>
      <c r="E1429" s="4" t="s">
        <v>718</v>
      </c>
      <c r="F1429" s="4" t="s">
        <v>175</v>
      </c>
      <c r="G1429" s="4" t="s">
        <v>408</v>
      </c>
      <c r="H1429" s="5">
        <f>ROUND(8460,0)</f>
        <v>8460</v>
      </c>
      <c r="I1429" s="6">
        <f>ROUND(7612,2)</f>
        <v>7612</v>
      </c>
      <c r="J1429" s="6">
        <f>ROUND(0.59923836,2)</f>
        <v>0.6</v>
      </c>
      <c r="K1429" s="5">
        <f>ROUND(385894.64,0)</f>
        <v>385895</v>
      </c>
      <c r="L1429" s="7">
        <f>ROUND(0.000134114855465336,4)</f>
        <v>1E-4</v>
      </c>
    </row>
    <row r="1430" spans="1:12">
      <c r="A1430" s="3" t="s">
        <v>2966</v>
      </c>
      <c r="B1430" s="4" t="s">
        <v>2967</v>
      </c>
      <c r="C1430" s="4" t="s">
        <v>400</v>
      </c>
      <c r="D1430" s="4" t="s">
        <v>717</v>
      </c>
      <c r="E1430" s="4" t="s">
        <v>718</v>
      </c>
      <c r="F1430" s="4" t="s">
        <v>175</v>
      </c>
      <c r="G1430" s="4" t="s">
        <v>408</v>
      </c>
      <c r="H1430" s="5">
        <f>ROUND(8607,0)</f>
        <v>8607</v>
      </c>
      <c r="I1430" s="6">
        <f>ROUND(7458,2)</f>
        <v>7458</v>
      </c>
      <c r="J1430" s="6">
        <f>ROUND(0.59923836,2)</f>
        <v>0.6</v>
      </c>
      <c r="K1430" s="5">
        <f>ROUND(384657.13,0)</f>
        <v>384657</v>
      </c>
      <c r="L1430" s="7">
        <f>ROUND(0.00013368476792956,4)</f>
        <v>1E-4</v>
      </c>
    </row>
    <row r="1431" spans="1:12">
      <c r="A1431" s="3" t="s">
        <v>2968</v>
      </c>
      <c r="B1431" s="4" t="s">
        <v>2969</v>
      </c>
      <c r="C1431" s="4" t="s">
        <v>422</v>
      </c>
      <c r="D1431" s="4" t="s">
        <v>717</v>
      </c>
      <c r="E1431" s="4" t="s">
        <v>718</v>
      </c>
      <c r="F1431" s="4" t="s">
        <v>175</v>
      </c>
      <c r="G1431" s="4" t="s">
        <v>408</v>
      </c>
      <c r="H1431" s="5">
        <f>ROUND(1971,0)</f>
        <v>1971</v>
      </c>
      <c r="I1431" s="6">
        <f>ROUND(32205,2)</f>
        <v>32205</v>
      </c>
      <c r="J1431" s="6">
        <f>ROUND(0.59923836,2)</f>
        <v>0.6</v>
      </c>
      <c r="K1431" s="5">
        <f>ROUND(380372.87,0)</f>
        <v>380373</v>
      </c>
      <c r="L1431" s="7">
        <f>ROUND(0.000132195804748636,4)</f>
        <v>1E-4</v>
      </c>
    </row>
    <row r="1432" spans="1:12">
      <c r="A1432" s="3" t="s">
        <v>2970</v>
      </c>
      <c r="B1432" s="4" t="s">
        <v>2971</v>
      </c>
      <c r="C1432" s="4" t="s">
        <v>400</v>
      </c>
      <c r="D1432" s="4" t="s">
        <v>514</v>
      </c>
      <c r="E1432" s="4" t="s">
        <v>515</v>
      </c>
      <c r="F1432" s="4" t="s">
        <v>190</v>
      </c>
      <c r="G1432" s="4" t="s">
        <v>408</v>
      </c>
      <c r="H1432" s="5">
        <f>ROUND(1816,0)</f>
        <v>1816</v>
      </c>
      <c r="I1432" s="6">
        <f>ROUND(30.52,2)</f>
        <v>30.52</v>
      </c>
      <c r="J1432" s="6">
        <f>ROUND(6.86237833,2)</f>
        <v>6.86</v>
      </c>
      <c r="K1432" s="5">
        <f>ROUND(380342.65,0)</f>
        <v>380343</v>
      </c>
      <c r="L1432" s="7">
        <f>ROUND(0.000132185302008996,4)</f>
        <v>1E-4</v>
      </c>
    </row>
    <row r="1433" spans="1:12">
      <c r="A1433" s="3" t="s">
        <v>2972</v>
      </c>
      <c r="B1433" s="4" t="s">
        <v>2973</v>
      </c>
      <c r="C1433" s="4" t="s">
        <v>400</v>
      </c>
      <c r="D1433" s="4" t="s">
        <v>407</v>
      </c>
      <c r="E1433" s="4" t="s">
        <v>35</v>
      </c>
      <c r="F1433" s="4" t="s">
        <v>21</v>
      </c>
      <c r="G1433" s="4" t="s">
        <v>408</v>
      </c>
      <c r="H1433" s="5">
        <f>ROUND(200,0)</f>
        <v>200</v>
      </c>
      <c r="I1433" s="6">
        <f>ROUND(208.95,2)</f>
        <v>208.95</v>
      </c>
      <c r="J1433" s="6">
        <f>ROUND(9.08595,2)</f>
        <v>9.09</v>
      </c>
      <c r="K1433" s="5">
        <f>ROUND(379701.85,0)</f>
        <v>379702</v>
      </c>
      <c r="L1433" s="7">
        <f>ROUND(0.000131962596662837,4)</f>
        <v>1E-4</v>
      </c>
    </row>
    <row r="1434" spans="1:12">
      <c r="A1434" s="3" t="s">
        <v>2974</v>
      </c>
      <c r="B1434" s="4" t="s">
        <v>2975</v>
      </c>
      <c r="C1434" s="4" t="s">
        <v>389</v>
      </c>
      <c r="D1434" s="4" t="s">
        <v>486</v>
      </c>
      <c r="E1434" s="4" t="s">
        <v>30</v>
      </c>
      <c r="F1434" s="4" t="s">
        <v>20</v>
      </c>
      <c r="G1434" s="4" t="s">
        <v>408</v>
      </c>
      <c r="H1434" s="5">
        <f>ROUND(18300,0)</f>
        <v>18300</v>
      </c>
      <c r="I1434" s="6">
        <f>ROUND(184.45,2)</f>
        <v>184.45</v>
      </c>
      <c r="J1434" s="6">
        <f>ROUND(11.19645077,2)</f>
        <v>11.2</v>
      </c>
      <c r="K1434" s="5">
        <f>ROUND(377928.92,0)</f>
        <v>377929</v>
      </c>
      <c r="L1434" s="7">
        <f>ROUND(0.000131346427827996,4)</f>
        <v>1E-4</v>
      </c>
    </row>
    <row r="1435" spans="1:12">
      <c r="A1435" s="3" t="s">
        <v>2976</v>
      </c>
      <c r="B1435" s="4" t="s">
        <v>2977</v>
      </c>
      <c r="C1435" s="4" t="s">
        <v>534</v>
      </c>
      <c r="D1435" s="4" t="s">
        <v>496</v>
      </c>
      <c r="E1435" s="4" t="s">
        <v>497</v>
      </c>
      <c r="F1435" s="4" t="s">
        <v>21</v>
      </c>
      <c r="G1435" s="4" t="s">
        <v>408</v>
      </c>
      <c r="H1435" s="5">
        <f>ROUND(1100,0)</f>
        <v>1100</v>
      </c>
      <c r="I1435" s="6">
        <f>ROUND(37.8,2)</f>
        <v>37.799999999999997</v>
      </c>
      <c r="J1435" s="6">
        <f>ROUND(9.08595,2)</f>
        <v>9.09</v>
      </c>
      <c r="K1435" s="5">
        <f>ROUND(377793.8,0)</f>
        <v>377794</v>
      </c>
      <c r="L1435" s="7">
        <f>ROUND(0.000131299467861746,4)</f>
        <v>1E-4</v>
      </c>
    </row>
    <row r="1436" spans="1:12">
      <c r="A1436" s="3" t="s">
        <v>2978</v>
      </c>
      <c r="B1436" s="4" t="s">
        <v>2979</v>
      </c>
      <c r="C1436" s="4" t="s">
        <v>566</v>
      </c>
      <c r="D1436" s="4" t="s">
        <v>1217</v>
      </c>
      <c r="E1436" s="4" t="s">
        <v>1218</v>
      </c>
      <c r="F1436" s="4" t="s">
        <v>190</v>
      </c>
      <c r="G1436" s="4" t="s">
        <v>408</v>
      </c>
      <c r="H1436" s="5">
        <f>ROUND(2047,0)</f>
        <v>2047</v>
      </c>
      <c r="I1436" s="6">
        <f>ROUND(26.89,2)</f>
        <v>26.89</v>
      </c>
      <c r="J1436" s="6">
        <f>ROUND(6.86237833,2)</f>
        <v>6.86</v>
      </c>
      <c r="K1436" s="5">
        <f>ROUND(377731.59,0)</f>
        <v>377732</v>
      </c>
      <c r="L1436" s="7">
        <f>ROUND(0.000131277847231932,4)</f>
        <v>1E-4</v>
      </c>
    </row>
    <row r="1437" spans="1:12">
      <c r="A1437" s="3" t="s">
        <v>2980</v>
      </c>
      <c r="B1437" s="4" t="s">
        <v>2981</v>
      </c>
      <c r="C1437" s="4" t="s">
        <v>545</v>
      </c>
      <c r="D1437" s="4" t="s">
        <v>1059</v>
      </c>
      <c r="E1437" s="4" t="s">
        <v>1060</v>
      </c>
      <c r="F1437" s="4" t="s">
        <v>279</v>
      </c>
      <c r="G1437" s="4" t="s">
        <v>408</v>
      </c>
      <c r="H1437" s="5">
        <f>ROUND(963,0)</f>
        <v>963</v>
      </c>
      <c r="I1437" s="6">
        <f>ROUND(391.8,2)</f>
        <v>391.8</v>
      </c>
      <c r="J1437" s="6">
        <f>ROUND(1,2)</f>
        <v>1</v>
      </c>
      <c r="K1437" s="5">
        <f>ROUND(377303.4,0)</f>
        <v>377303</v>
      </c>
      <c r="L1437" s="7">
        <f>ROUND(0.000131129032933911,4)</f>
        <v>1E-4</v>
      </c>
    </row>
    <row r="1438" spans="1:12">
      <c r="A1438" s="3" t="s">
        <v>2982</v>
      </c>
      <c r="B1438" s="4" t="s">
        <v>2983</v>
      </c>
      <c r="C1438" s="4" t="s">
        <v>430</v>
      </c>
      <c r="D1438" s="4" t="s">
        <v>514</v>
      </c>
      <c r="E1438" s="4" t="s">
        <v>515</v>
      </c>
      <c r="F1438" s="4" t="s">
        <v>190</v>
      </c>
      <c r="G1438" s="4" t="s">
        <v>408</v>
      </c>
      <c r="H1438" s="5">
        <f>ROUND(8711,0)</f>
        <v>8711</v>
      </c>
      <c r="I1438" s="6">
        <f>ROUND(6.31,2)</f>
        <v>6.31</v>
      </c>
      <c r="J1438" s="6">
        <f>ROUND(6.86237833,2)</f>
        <v>6.86</v>
      </c>
      <c r="K1438" s="5">
        <f>ROUND(377200.3,0)</f>
        <v>377200</v>
      </c>
      <c r="L1438" s="7">
        <f>ROUND(0.000131093201284116,4)</f>
        <v>1E-4</v>
      </c>
    </row>
    <row r="1439" spans="1:12">
      <c r="A1439" s="3" t="s">
        <v>2984</v>
      </c>
      <c r="B1439" s="4" t="s">
        <v>2985</v>
      </c>
      <c r="C1439" s="4" t="s">
        <v>422</v>
      </c>
      <c r="D1439" s="4" t="s">
        <v>836</v>
      </c>
      <c r="E1439" s="4" t="s">
        <v>837</v>
      </c>
      <c r="F1439" s="4" t="s">
        <v>21</v>
      </c>
      <c r="G1439" s="4" t="s">
        <v>408</v>
      </c>
      <c r="H1439" s="5">
        <f>ROUND(3171,0)</f>
        <v>3171</v>
      </c>
      <c r="I1439" s="6">
        <f>ROUND(13.065,2)</f>
        <v>13.07</v>
      </c>
      <c r="J1439" s="6">
        <f>ROUND(9.08595,2)</f>
        <v>9.09</v>
      </c>
      <c r="K1439" s="5">
        <f>ROUND(376422.91,0)</f>
        <v>376423</v>
      </c>
      <c r="L1439" s="7">
        <f>ROUND(0.000130823025083974,4)</f>
        <v>1E-4</v>
      </c>
    </row>
    <row r="1440" spans="1:12">
      <c r="A1440" s="3" t="s">
        <v>2986</v>
      </c>
      <c r="B1440" s="4" t="s">
        <v>2987</v>
      </c>
      <c r="C1440" s="4" t="s">
        <v>406</v>
      </c>
      <c r="D1440" s="4" t="s">
        <v>552</v>
      </c>
      <c r="E1440" s="4" t="s">
        <v>553</v>
      </c>
      <c r="F1440" s="4" t="s">
        <v>26</v>
      </c>
      <c r="G1440" s="4" t="s">
        <v>408</v>
      </c>
      <c r="H1440" s="5">
        <f>ROUND(62000,0)</f>
        <v>62000</v>
      </c>
      <c r="I1440" s="6">
        <f>ROUND(5.23,2)</f>
        <v>5.23</v>
      </c>
      <c r="J1440" s="6">
        <f>ROUND(1.15901246,2)</f>
        <v>1.1599999999999999</v>
      </c>
      <c r="K1440" s="5">
        <f>ROUND(375821.38,0)</f>
        <v>375821</v>
      </c>
      <c r="L1440" s="7">
        <f>ROUND(0.000130613967738663,4)</f>
        <v>1E-4</v>
      </c>
    </row>
    <row r="1441" spans="1:12">
      <c r="A1441" s="3" t="s">
        <v>2988</v>
      </c>
      <c r="B1441" s="4" t="s">
        <v>2989</v>
      </c>
      <c r="C1441" s="4" t="s">
        <v>534</v>
      </c>
      <c r="D1441" s="4" t="s">
        <v>489</v>
      </c>
      <c r="E1441" s="4" t="s">
        <v>490</v>
      </c>
      <c r="F1441" s="4" t="s">
        <v>45</v>
      </c>
      <c r="G1441" s="4" t="s">
        <v>408</v>
      </c>
      <c r="H1441" s="5">
        <f>ROUND(2200,0)</f>
        <v>2200</v>
      </c>
      <c r="I1441" s="6">
        <f>ROUND(2028,2)</f>
        <v>2028</v>
      </c>
      <c r="J1441" s="6">
        <f>ROUND(8.407077,2)</f>
        <v>8.41</v>
      </c>
      <c r="K1441" s="5">
        <f>ROUND(375090.15,0)</f>
        <v>375090</v>
      </c>
      <c r="L1441" s="7">
        <f>ROUND(0.000130359834108401,4)</f>
        <v>1E-4</v>
      </c>
    </row>
    <row r="1442" spans="1:12">
      <c r="A1442" s="3" t="s">
        <v>2990</v>
      </c>
      <c r="B1442" s="4" t="s">
        <v>2991</v>
      </c>
      <c r="C1442" s="4" t="s">
        <v>406</v>
      </c>
      <c r="D1442" s="4" t="s">
        <v>407</v>
      </c>
      <c r="E1442" s="4" t="s">
        <v>35</v>
      </c>
      <c r="F1442" s="4" t="s">
        <v>21</v>
      </c>
      <c r="G1442" s="4" t="s">
        <v>408</v>
      </c>
      <c r="H1442" s="5">
        <f>ROUND(800,0)</f>
        <v>800</v>
      </c>
      <c r="I1442" s="6">
        <f>ROUND(51.57,2)</f>
        <v>51.57</v>
      </c>
      <c r="J1442" s="6">
        <f>ROUND(9.08595,2)</f>
        <v>9.09</v>
      </c>
      <c r="K1442" s="5">
        <f>ROUND(374849.95,0)</f>
        <v>374850</v>
      </c>
      <c r="L1442" s="7">
        <f>ROUND(0.000130276354357859,4)</f>
        <v>1E-4</v>
      </c>
    </row>
    <row r="1443" spans="1:12">
      <c r="A1443" s="3" t="s">
        <v>2992</v>
      </c>
      <c r="B1443" s="4" t="s">
        <v>2993</v>
      </c>
      <c r="C1443" s="4" t="s">
        <v>534</v>
      </c>
      <c r="D1443" s="4" t="s">
        <v>489</v>
      </c>
      <c r="E1443" s="4" t="s">
        <v>490</v>
      </c>
      <c r="F1443" s="4" t="s">
        <v>45</v>
      </c>
      <c r="G1443" s="4" t="s">
        <v>408</v>
      </c>
      <c r="H1443" s="5">
        <f>ROUND(800,0)</f>
        <v>800</v>
      </c>
      <c r="I1443" s="6">
        <f>ROUND(5570,2)</f>
        <v>5570</v>
      </c>
      <c r="J1443" s="6">
        <f>ROUND(8.407077,2)</f>
        <v>8.41</v>
      </c>
      <c r="K1443" s="5">
        <f>ROUND(374619.35,0)</f>
        <v>374619</v>
      </c>
      <c r="L1443" s="7">
        <f>ROUND(0.000130196211016997,4)</f>
        <v>1E-4</v>
      </c>
    </row>
    <row r="1444" spans="1:12">
      <c r="A1444" s="3" t="s">
        <v>2994</v>
      </c>
      <c r="B1444" s="4" t="s">
        <v>2995</v>
      </c>
      <c r="C1444" s="4" t="s">
        <v>389</v>
      </c>
      <c r="D1444" s="4" t="s">
        <v>739</v>
      </c>
      <c r="E1444" s="4" t="s">
        <v>740</v>
      </c>
      <c r="F1444" s="4" t="s">
        <v>741</v>
      </c>
      <c r="G1444" s="4" t="s">
        <v>408</v>
      </c>
      <c r="H1444" s="5">
        <f>ROUND(1526,0)</f>
        <v>1526</v>
      </c>
      <c r="I1444" s="6">
        <f>ROUND(32250,2)</f>
        <v>32250</v>
      </c>
      <c r="J1444" s="6">
        <f>ROUND(0.00759599,2)</f>
        <v>0.01</v>
      </c>
      <c r="K1444" s="5">
        <f>ROUND(373825.25,0)</f>
        <v>373825</v>
      </c>
      <c r="L1444" s="7">
        <f>ROUND(0.000129920227378756,4)</f>
        <v>1E-4</v>
      </c>
    </row>
    <row r="1445" spans="1:12">
      <c r="A1445" s="3" t="s">
        <v>2996</v>
      </c>
      <c r="B1445" s="4" t="s">
        <v>2997</v>
      </c>
      <c r="C1445" s="4" t="s">
        <v>400</v>
      </c>
      <c r="D1445" s="4" t="s">
        <v>577</v>
      </c>
      <c r="E1445" s="4" t="s">
        <v>578</v>
      </c>
      <c r="F1445" s="4" t="s">
        <v>18</v>
      </c>
      <c r="G1445" s="4" t="s">
        <v>408</v>
      </c>
      <c r="H1445" s="5">
        <f>ROUND(2333,0)</f>
        <v>2333</v>
      </c>
      <c r="I1445" s="6">
        <f>ROUND(16.175,2)</f>
        <v>16.18</v>
      </c>
      <c r="J1445" s="6">
        <f>ROUND(9.9055,2)</f>
        <v>9.91</v>
      </c>
      <c r="K1445" s="5">
        <f>ROUND(373796.72,0)</f>
        <v>373797</v>
      </c>
      <c r="L1445" s="7">
        <f>ROUND(0.000129910311986237,4)</f>
        <v>1E-4</v>
      </c>
    </row>
    <row r="1446" spans="1:12">
      <c r="A1446" s="3" t="s">
        <v>2998</v>
      </c>
      <c r="B1446" s="4" t="s">
        <v>2999</v>
      </c>
      <c r="C1446" s="4" t="s">
        <v>566</v>
      </c>
      <c r="D1446" s="4" t="s">
        <v>456</v>
      </c>
      <c r="E1446" s="4" t="s">
        <v>457</v>
      </c>
      <c r="F1446" s="4" t="s">
        <v>26</v>
      </c>
      <c r="G1446" s="4" t="s">
        <v>408</v>
      </c>
      <c r="H1446" s="5">
        <f>ROUND(11000,0)</f>
        <v>11000</v>
      </c>
      <c r="I1446" s="6">
        <f>ROUND(29.3,2)</f>
        <v>29.3</v>
      </c>
      <c r="J1446" s="6">
        <f>ROUND(1.15901246,2)</f>
        <v>1.1599999999999999</v>
      </c>
      <c r="K1446" s="5">
        <f>ROUND(373549.72,0)</f>
        <v>373550</v>
      </c>
      <c r="L1446" s="7">
        <f>ROUND(0.000129824468945505,4)</f>
        <v>1E-4</v>
      </c>
    </row>
    <row r="1447" spans="1:12">
      <c r="A1447" s="3" t="s">
        <v>3000</v>
      </c>
      <c r="B1447" s="4" t="s">
        <v>3001</v>
      </c>
      <c r="C1447" s="4" t="s">
        <v>406</v>
      </c>
      <c r="D1447" s="4" t="s">
        <v>407</v>
      </c>
      <c r="E1447" s="4" t="s">
        <v>35</v>
      </c>
      <c r="F1447" s="4" t="s">
        <v>21</v>
      </c>
      <c r="G1447" s="4" t="s">
        <v>408</v>
      </c>
      <c r="H1447" s="5">
        <f>ROUND(535,0)</f>
        <v>535</v>
      </c>
      <c r="I1447" s="6">
        <f>ROUND(76.76,2)</f>
        <v>76.760000000000005</v>
      </c>
      <c r="J1447" s="6">
        <f>ROUND(9.08595,2)</f>
        <v>9.09</v>
      </c>
      <c r="K1447" s="5">
        <f>ROUND(373129.07,0)</f>
        <v>373129</v>
      </c>
      <c r="L1447" s="7">
        <f>ROUND(0.000129678275119253,4)</f>
        <v>1E-4</v>
      </c>
    </row>
    <row r="1448" spans="1:12">
      <c r="A1448" s="3" t="s">
        <v>3002</v>
      </c>
      <c r="B1448" s="4" t="s">
        <v>3003</v>
      </c>
      <c r="C1448" s="4" t="s">
        <v>400</v>
      </c>
      <c r="D1448" s="4" t="s">
        <v>655</v>
      </c>
      <c r="E1448" s="4" t="s">
        <v>656</v>
      </c>
      <c r="F1448" s="4" t="s">
        <v>26</v>
      </c>
      <c r="G1448" s="4" t="s">
        <v>408</v>
      </c>
      <c r="H1448" s="5">
        <f>ROUND(77000,0)</f>
        <v>77000</v>
      </c>
      <c r="I1448" s="6">
        <f>ROUND(4.18,2)</f>
        <v>4.18</v>
      </c>
      <c r="J1448" s="6">
        <f>ROUND(1.15901246,2)</f>
        <v>1.1599999999999999</v>
      </c>
      <c r="K1448" s="5">
        <f>ROUND(373039.75,0)</f>
        <v>373040</v>
      </c>
      <c r="L1448" s="7">
        <f>ROUND(0.00012964723260752,4)</f>
        <v>1E-4</v>
      </c>
    </row>
    <row r="1449" spans="1:12">
      <c r="A1449" s="3" t="s">
        <v>3004</v>
      </c>
      <c r="B1449" s="4" t="s">
        <v>3005</v>
      </c>
      <c r="C1449" s="4" t="s">
        <v>534</v>
      </c>
      <c r="D1449" s="4" t="s">
        <v>541</v>
      </c>
      <c r="E1449" s="4" t="s">
        <v>542</v>
      </c>
      <c r="F1449" s="4" t="s">
        <v>18</v>
      </c>
      <c r="G1449" s="4" t="s">
        <v>408</v>
      </c>
      <c r="H1449" s="5">
        <f>ROUND(931,0)</f>
        <v>931</v>
      </c>
      <c r="I1449" s="6">
        <f>ROUND(40.35,2)</f>
        <v>40.35</v>
      </c>
      <c r="J1449" s="6">
        <f>ROUND(9.9055,2)</f>
        <v>9.91</v>
      </c>
      <c r="K1449" s="5">
        <f>ROUND(372108.53,0)</f>
        <v>372109</v>
      </c>
      <c r="L1449" s="7">
        <f>ROUND(0.000129323593917678,4)</f>
        <v>1E-4</v>
      </c>
    </row>
    <row r="1450" spans="1:12">
      <c r="A1450" s="3" t="s">
        <v>3006</v>
      </c>
      <c r="B1450" s="4" t="s">
        <v>3007</v>
      </c>
      <c r="C1450" s="4" t="s">
        <v>445</v>
      </c>
      <c r="D1450" s="4" t="s">
        <v>423</v>
      </c>
      <c r="E1450" s="4" t="s">
        <v>25</v>
      </c>
      <c r="F1450" s="4" t="s">
        <v>16</v>
      </c>
      <c r="G1450" s="4" t="s">
        <v>408</v>
      </c>
      <c r="H1450" s="5">
        <f>ROUND(50,0)</f>
        <v>50</v>
      </c>
      <c r="I1450" s="6">
        <f>ROUND(815.8,2)</f>
        <v>815.8</v>
      </c>
      <c r="J1450" s="6">
        <f>ROUND(9.11185723,2)</f>
        <v>9.11</v>
      </c>
      <c r="K1450" s="5">
        <f>ROUND(371672.66,0)</f>
        <v>371673</v>
      </c>
      <c r="L1450" s="7">
        <f>ROUND(0.000129172110491913,4)</f>
        <v>1E-4</v>
      </c>
    </row>
    <row r="1451" spans="1:12">
      <c r="A1451" s="3" t="s">
        <v>3008</v>
      </c>
      <c r="B1451" s="4" t="s">
        <v>3009</v>
      </c>
      <c r="C1451" s="4" t="s">
        <v>415</v>
      </c>
      <c r="D1451" s="4" t="s">
        <v>407</v>
      </c>
      <c r="E1451" s="4" t="s">
        <v>35</v>
      </c>
      <c r="F1451" s="4" t="s">
        <v>21</v>
      </c>
      <c r="G1451" s="4" t="s">
        <v>408</v>
      </c>
      <c r="H1451" s="5">
        <f>ROUND(1200,0)</f>
        <v>1200</v>
      </c>
      <c r="I1451" s="6">
        <f>ROUND(34.07,2)</f>
        <v>34.07</v>
      </c>
      <c r="J1451" s="6">
        <f>ROUND(9.08595,2)</f>
        <v>9.09</v>
      </c>
      <c r="K1451" s="5">
        <f>ROUND(371469.98,0)</f>
        <v>371470</v>
      </c>
      <c r="L1451" s="7">
        <f>ROUND(0.000129101670542538,4)</f>
        <v>1E-4</v>
      </c>
    </row>
    <row r="1452" spans="1:12">
      <c r="A1452" s="3" t="s">
        <v>3010</v>
      </c>
      <c r="B1452" s="4" t="s">
        <v>3011</v>
      </c>
      <c r="C1452" s="4" t="s">
        <v>422</v>
      </c>
      <c r="D1452" s="4" t="s">
        <v>407</v>
      </c>
      <c r="E1452" s="4" t="s">
        <v>35</v>
      </c>
      <c r="F1452" s="4" t="s">
        <v>21</v>
      </c>
      <c r="G1452" s="4" t="s">
        <v>408</v>
      </c>
      <c r="H1452" s="5">
        <f>ROUND(500,0)</f>
        <v>500</v>
      </c>
      <c r="I1452" s="6">
        <f>ROUND(81.74,2)</f>
        <v>81.739999999999995</v>
      </c>
      <c r="J1452" s="6">
        <f>ROUND(9.08595,2)</f>
        <v>9.09</v>
      </c>
      <c r="K1452" s="5">
        <f>ROUND(371342.78,0)</f>
        <v>371343</v>
      </c>
      <c r="L1452" s="7">
        <f>ROUND(0.000129057463114274,4)</f>
        <v>1E-4</v>
      </c>
    </row>
    <row r="1453" spans="1:12">
      <c r="A1453" s="3" t="s">
        <v>3012</v>
      </c>
      <c r="B1453" s="4" t="s">
        <v>3013</v>
      </c>
      <c r="C1453" s="4" t="s">
        <v>406</v>
      </c>
      <c r="D1453" s="4" t="s">
        <v>514</v>
      </c>
      <c r="E1453" s="4" t="s">
        <v>515</v>
      </c>
      <c r="F1453" s="4" t="s">
        <v>190</v>
      </c>
      <c r="G1453" s="4" t="s">
        <v>408</v>
      </c>
      <c r="H1453" s="5">
        <f>ROUND(1000,0)</f>
        <v>1000</v>
      </c>
      <c r="I1453" s="6">
        <f>ROUND(54.04,2)</f>
        <v>54.04</v>
      </c>
      <c r="J1453" s="6">
        <f>ROUND(6.86237833,2)</f>
        <v>6.86</v>
      </c>
      <c r="K1453" s="5">
        <f>ROUND(370842.92,0)</f>
        <v>370843</v>
      </c>
      <c r="L1453" s="7">
        <f>ROUND(0.000128883740432733,4)</f>
        <v>1E-4</v>
      </c>
    </row>
    <row r="1454" spans="1:12">
      <c r="A1454" s="3" t="s">
        <v>3014</v>
      </c>
      <c r="B1454" s="4" t="s">
        <v>3015</v>
      </c>
      <c r="C1454" s="4" t="s">
        <v>400</v>
      </c>
      <c r="D1454" s="4" t="s">
        <v>541</v>
      </c>
      <c r="E1454" s="4" t="s">
        <v>542</v>
      </c>
      <c r="F1454" s="4" t="s">
        <v>18</v>
      </c>
      <c r="G1454" s="4" t="s">
        <v>408</v>
      </c>
      <c r="H1454" s="5">
        <f>ROUND(241,0)</f>
        <v>241</v>
      </c>
      <c r="I1454" s="6">
        <f>ROUND(155.1,2)</f>
        <v>155.1</v>
      </c>
      <c r="J1454" s="6">
        <f>ROUND(9.9055,2)</f>
        <v>9.91</v>
      </c>
      <c r="K1454" s="5">
        <f>ROUND(370258.68,0)</f>
        <v>370259</v>
      </c>
      <c r="L1454" s="7">
        <f>ROUND(0.000128680692100274,4)</f>
        <v>1E-4</v>
      </c>
    </row>
    <row r="1455" spans="1:12">
      <c r="A1455" s="3" t="s">
        <v>3016</v>
      </c>
      <c r="B1455" s="4" t="s">
        <v>3017</v>
      </c>
      <c r="C1455" s="4" t="s">
        <v>534</v>
      </c>
      <c r="D1455" s="4" t="s">
        <v>489</v>
      </c>
      <c r="E1455" s="4" t="s">
        <v>490</v>
      </c>
      <c r="F1455" s="4" t="s">
        <v>45</v>
      </c>
      <c r="G1455" s="4" t="s">
        <v>408</v>
      </c>
      <c r="H1455" s="5">
        <f>ROUND(2700,0)</f>
        <v>2700</v>
      </c>
      <c r="I1455" s="6">
        <f>ROUND(1626,2)</f>
        <v>1626</v>
      </c>
      <c r="J1455" s="6">
        <f>ROUND(8.407077,2)</f>
        <v>8.41</v>
      </c>
      <c r="K1455" s="5">
        <f>ROUND(369087.49,0)</f>
        <v>369087</v>
      </c>
      <c r="L1455" s="7">
        <f>ROUND(0.000128273653594706,4)</f>
        <v>1E-4</v>
      </c>
    </row>
    <row r="1456" spans="1:12">
      <c r="A1456" s="3" t="s">
        <v>3018</v>
      </c>
      <c r="B1456" s="4" t="s">
        <v>3019</v>
      </c>
      <c r="C1456" s="4" t="s">
        <v>389</v>
      </c>
      <c r="D1456" s="4" t="s">
        <v>407</v>
      </c>
      <c r="E1456" s="4" t="s">
        <v>35</v>
      </c>
      <c r="F1456" s="4" t="s">
        <v>21</v>
      </c>
      <c r="G1456" s="4" t="s">
        <v>408</v>
      </c>
      <c r="H1456" s="5">
        <f>ROUND(459,0)</f>
        <v>459</v>
      </c>
      <c r="I1456" s="6">
        <f>ROUND(88.23,2)</f>
        <v>88.23</v>
      </c>
      <c r="J1456" s="6">
        <f>ROUND(9.08595,2)</f>
        <v>9.09</v>
      </c>
      <c r="K1456" s="5">
        <f>ROUND(367958.9,0)</f>
        <v>367959</v>
      </c>
      <c r="L1456" s="7">
        <f>ROUND(0.000127881420407093,4)</f>
        <v>1E-4</v>
      </c>
    </row>
    <row r="1457" spans="1:12">
      <c r="A1457" s="3" t="s">
        <v>3020</v>
      </c>
      <c r="B1457" s="4" t="s">
        <v>3021</v>
      </c>
      <c r="C1457" s="4" t="s">
        <v>415</v>
      </c>
      <c r="D1457" s="4" t="s">
        <v>456</v>
      </c>
      <c r="E1457" s="4" t="s">
        <v>457</v>
      </c>
      <c r="F1457" s="4" t="s">
        <v>21</v>
      </c>
      <c r="G1457" s="4" t="s">
        <v>408</v>
      </c>
      <c r="H1457" s="5">
        <f>ROUND(3169,0)</f>
        <v>3169</v>
      </c>
      <c r="I1457" s="6">
        <f>ROUND(12.77,2)</f>
        <v>12.77</v>
      </c>
      <c r="J1457" s="6">
        <f>ROUND(9.08595,2)</f>
        <v>9.09</v>
      </c>
      <c r="K1457" s="5">
        <f>ROUND(367691.41,0)</f>
        <v>367691</v>
      </c>
      <c r="L1457" s="7">
        <f>ROUND(0.00012778845621695,4)</f>
        <v>1E-4</v>
      </c>
    </row>
    <row r="1458" spans="1:12">
      <c r="A1458" s="3" t="s">
        <v>3022</v>
      </c>
      <c r="B1458" s="4" t="s">
        <v>3023</v>
      </c>
      <c r="C1458" s="4" t="s">
        <v>400</v>
      </c>
      <c r="D1458" s="4" t="s">
        <v>577</v>
      </c>
      <c r="E1458" s="4" t="s">
        <v>578</v>
      </c>
      <c r="F1458" s="4" t="s">
        <v>18</v>
      </c>
      <c r="G1458" s="4" t="s">
        <v>408</v>
      </c>
      <c r="H1458" s="5">
        <f>ROUND(1138,0)</f>
        <v>1138</v>
      </c>
      <c r="I1458" s="6">
        <f>ROUND(32.54,2)</f>
        <v>32.54</v>
      </c>
      <c r="J1458" s="6">
        <f>ROUND(9.9055,2)</f>
        <v>9.91</v>
      </c>
      <c r="K1458" s="5">
        <f>ROUND(366805.82,0)</f>
        <v>366806</v>
      </c>
      <c r="L1458" s="7">
        <f>ROUND(0.00012748067589937,4)</f>
        <v>1E-4</v>
      </c>
    </row>
    <row r="1459" spans="1:12">
      <c r="A1459" s="3" t="s">
        <v>1341</v>
      </c>
      <c r="B1459" s="4" t="s">
        <v>3024</v>
      </c>
      <c r="C1459" s="4" t="s">
        <v>422</v>
      </c>
      <c r="D1459" s="4" t="s">
        <v>486</v>
      </c>
      <c r="E1459" s="4" t="s">
        <v>30</v>
      </c>
      <c r="F1459" s="4" t="s">
        <v>18</v>
      </c>
      <c r="G1459" s="4" t="s">
        <v>408</v>
      </c>
      <c r="H1459" s="5">
        <f>ROUND(721,0)</f>
        <v>721</v>
      </c>
      <c r="I1459" s="6">
        <f>ROUND(51.2,2)</f>
        <v>51.2</v>
      </c>
      <c r="J1459" s="6">
        <f>ROUND(9.9055,2)</f>
        <v>9.91</v>
      </c>
      <c r="K1459" s="5">
        <f>ROUND(365663.51,0)</f>
        <v>365664</v>
      </c>
      <c r="L1459" s="7">
        <f>ROUND(0.000127083674426256,4)</f>
        <v>1E-4</v>
      </c>
    </row>
    <row r="1460" spans="1:12">
      <c r="A1460" s="3" t="s">
        <v>3025</v>
      </c>
      <c r="B1460" s="4" t="s">
        <v>3026</v>
      </c>
      <c r="C1460" s="4" t="s">
        <v>422</v>
      </c>
      <c r="D1460" s="4" t="s">
        <v>489</v>
      </c>
      <c r="E1460" s="4" t="s">
        <v>490</v>
      </c>
      <c r="F1460" s="4" t="s">
        <v>45</v>
      </c>
      <c r="G1460" s="4" t="s">
        <v>408</v>
      </c>
      <c r="H1460" s="5">
        <f>ROUND(1000,0)</f>
        <v>1000</v>
      </c>
      <c r="I1460" s="6">
        <f>ROUND(4345,2)</f>
        <v>4345</v>
      </c>
      <c r="J1460" s="6">
        <f>ROUND(8.407077,2)</f>
        <v>8.41</v>
      </c>
      <c r="K1460" s="5">
        <f>ROUND(365287.5,0)</f>
        <v>365288</v>
      </c>
      <c r="L1460" s="7">
        <f>ROUND(0.000126952994905018,4)</f>
        <v>1E-4</v>
      </c>
    </row>
    <row r="1461" spans="1:12">
      <c r="A1461" s="3" t="s">
        <v>3027</v>
      </c>
      <c r="B1461" s="4" t="s">
        <v>3028</v>
      </c>
      <c r="C1461" s="4" t="s">
        <v>545</v>
      </c>
      <c r="D1461" s="4" t="s">
        <v>1119</v>
      </c>
      <c r="E1461" s="4" t="s">
        <v>1120</v>
      </c>
      <c r="F1461" s="4" t="s">
        <v>95</v>
      </c>
      <c r="G1461" s="4" t="s">
        <v>408</v>
      </c>
      <c r="H1461" s="5">
        <f>ROUND(3019,0)</f>
        <v>3019</v>
      </c>
      <c r="I1461" s="6">
        <f>ROUND(262.67,2)</f>
        <v>262.67</v>
      </c>
      <c r="J1461" s="6">
        <f>ROUND(0.4601869,2)</f>
        <v>0.46</v>
      </c>
      <c r="K1461" s="5">
        <f>ROUND(364928.55,0)</f>
        <v>364929</v>
      </c>
      <c r="L1461" s="7">
        <f>ROUND(0.000126828244461816,4)</f>
        <v>1E-4</v>
      </c>
    </row>
    <row r="1462" spans="1:12">
      <c r="A1462" s="3" t="s">
        <v>3029</v>
      </c>
      <c r="B1462" s="4" t="s">
        <v>3030</v>
      </c>
      <c r="C1462" s="4" t="s">
        <v>445</v>
      </c>
      <c r="D1462" s="4" t="s">
        <v>407</v>
      </c>
      <c r="E1462" s="4" t="s">
        <v>35</v>
      </c>
      <c r="F1462" s="4" t="s">
        <v>21</v>
      </c>
      <c r="G1462" s="4" t="s">
        <v>408</v>
      </c>
      <c r="H1462" s="5">
        <f>ROUND(468,0)</f>
        <v>468</v>
      </c>
      <c r="I1462" s="6">
        <f>ROUND(85.4,2)</f>
        <v>85.4</v>
      </c>
      <c r="J1462" s="6">
        <f>ROUND(9.08595,2)</f>
        <v>9.09</v>
      </c>
      <c r="K1462" s="5">
        <f>ROUND(363139.98,0)</f>
        <v>363140</v>
      </c>
      <c r="L1462" s="7">
        <f>ROUND(0.000126206640059538,4)</f>
        <v>1E-4</v>
      </c>
    </row>
    <row r="1463" spans="1:12">
      <c r="A1463" s="3" t="s">
        <v>3031</v>
      </c>
      <c r="B1463" s="4" t="s">
        <v>3032</v>
      </c>
      <c r="C1463" s="4" t="s">
        <v>400</v>
      </c>
      <c r="D1463" s="4" t="s">
        <v>407</v>
      </c>
      <c r="E1463" s="4" t="s">
        <v>35</v>
      </c>
      <c r="F1463" s="4" t="s">
        <v>21</v>
      </c>
      <c r="G1463" s="4" t="s">
        <v>408</v>
      </c>
      <c r="H1463" s="5">
        <f>ROUND(50,0)</f>
        <v>50</v>
      </c>
      <c r="I1463" s="6">
        <f>ROUND(797.76,2)</f>
        <v>797.76</v>
      </c>
      <c r="J1463" s="6">
        <f>ROUND(9.08595,2)</f>
        <v>9.09</v>
      </c>
      <c r="K1463" s="5">
        <f>ROUND(362420.37,0)</f>
        <v>362420</v>
      </c>
      <c r="L1463" s="7">
        <f>ROUND(0.00012595654487516,4)</f>
        <v>1E-4</v>
      </c>
    </row>
    <row r="1464" spans="1:12">
      <c r="A1464" s="3" t="s">
        <v>3033</v>
      </c>
      <c r="B1464" s="4" t="s">
        <v>3034</v>
      </c>
      <c r="C1464" s="4" t="s">
        <v>389</v>
      </c>
      <c r="D1464" s="4" t="s">
        <v>407</v>
      </c>
      <c r="E1464" s="4" t="s">
        <v>35</v>
      </c>
      <c r="F1464" s="4" t="s">
        <v>21</v>
      </c>
      <c r="G1464" s="4" t="s">
        <v>408</v>
      </c>
      <c r="H1464" s="5">
        <f>ROUND(416,0)</f>
        <v>416</v>
      </c>
      <c r="I1464" s="6">
        <f>ROUND(95.47,2)</f>
        <v>95.47</v>
      </c>
      <c r="J1464" s="6">
        <f>ROUND(9.08595,2)</f>
        <v>9.09</v>
      </c>
      <c r="K1464" s="5">
        <f>ROUND(360853.23,0)</f>
        <v>360853</v>
      </c>
      <c r="L1464" s="7">
        <f>ROUND(0.000125411896847413,4)</f>
        <v>1E-4</v>
      </c>
    </row>
    <row r="1465" spans="1:12">
      <c r="A1465" s="3" t="s">
        <v>3035</v>
      </c>
      <c r="B1465" s="4" t="s">
        <v>3036</v>
      </c>
      <c r="C1465" s="4" t="s">
        <v>389</v>
      </c>
      <c r="D1465" s="4" t="s">
        <v>489</v>
      </c>
      <c r="E1465" s="4" t="s">
        <v>490</v>
      </c>
      <c r="F1465" s="4" t="s">
        <v>45</v>
      </c>
      <c r="G1465" s="4" t="s">
        <v>408</v>
      </c>
      <c r="H1465" s="5">
        <f>ROUND(8200,0)</f>
        <v>8200</v>
      </c>
      <c r="I1465" s="6">
        <f>ROUND(523,2)</f>
        <v>523</v>
      </c>
      <c r="J1465" s="6">
        <f>ROUND(8.407077,2)</f>
        <v>8.41</v>
      </c>
      <c r="K1465" s="5">
        <f>ROUND(360545.9,0)</f>
        <v>360546</v>
      </c>
      <c r="L1465" s="7">
        <f>ROUND(0.000125305086557096,4)</f>
        <v>1E-4</v>
      </c>
    </row>
    <row r="1466" spans="1:12">
      <c r="A1466" s="3" t="s">
        <v>3037</v>
      </c>
      <c r="B1466" s="4" t="s">
        <v>3038</v>
      </c>
      <c r="C1466" s="4" t="s">
        <v>389</v>
      </c>
      <c r="D1466" s="4" t="s">
        <v>489</v>
      </c>
      <c r="E1466" s="4" t="s">
        <v>490</v>
      </c>
      <c r="F1466" s="4" t="s">
        <v>45</v>
      </c>
      <c r="G1466" s="4" t="s">
        <v>408</v>
      </c>
      <c r="H1466" s="5">
        <f>ROUND(3600,0)</f>
        <v>3600</v>
      </c>
      <c r="I1466" s="6">
        <f>ROUND(1190.5,2)</f>
        <v>1190.5</v>
      </c>
      <c r="J1466" s="6">
        <f>ROUND(8.407077,2)</f>
        <v>8.41</v>
      </c>
      <c r="K1466" s="5">
        <f>ROUND(360310.51,0)</f>
        <v>360311</v>
      </c>
      <c r="L1466" s="7">
        <f>ROUND(0.000125223278486821,4)</f>
        <v>1E-4</v>
      </c>
    </row>
    <row r="1467" spans="1:12">
      <c r="A1467" s="3" t="s">
        <v>3039</v>
      </c>
      <c r="B1467" s="4" t="s">
        <v>3040</v>
      </c>
      <c r="C1467" s="4" t="s">
        <v>389</v>
      </c>
      <c r="D1467" s="4" t="s">
        <v>407</v>
      </c>
      <c r="E1467" s="4" t="s">
        <v>35</v>
      </c>
      <c r="F1467" s="4" t="s">
        <v>21</v>
      </c>
      <c r="G1467" s="4" t="s">
        <v>408</v>
      </c>
      <c r="H1467" s="5">
        <f>ROUND(1100,0)</f>
        <v>1100</v>
      </c>
      <c r="I1467" s="6">
        <f>ROUND(35.97,2)</f>
        <v>35.97</v>
      </c>
      <c r="J1467" s="6">
        <f>ROUND(9.08595,2)</f>
        <v>9.09</v>
      </c>
      <c r="K1467" s="5">
        <f>ROUND(359503.78,0)</f>
        <v>359504</v>
      </c>
      <c r="L1467" s="7">
        <f>ROUND(0.000124942905384594,4)</f>
        <v>1E-4</v>
      </c>
    </row>
    <row r="1468" spans="1:12">
      <c r="A1468" s="3" t="s">
        <v>3041</v>
      </c>
      <c r="B1468" s="4" t="s">
        <v>3042</v>
      </c>
      <c r="C1468" s="4" t="s">
        <v>400</v>
      </c>
      <c r="D1468" s="4" t="s">
        <v>489</v>
      </c>
      <c r="E1468" s="4" t="s">
        <v>490</v>
      </c>
      <c r="F1468" s="4" t="s">
        <v>45</v>
      </c>
      <c r="G1468" s="4" t="s">
        <v>408</v>
      </c>
      <c r="H1468" s="5">
        <f>ROUND(10300,0)</f>
        <v>10300</v>
      </c>
      <c r="I1468" s="6">
        <f>ROUND(414,2)</f>
        <v>414</v>
      </c>
      <c r="J1468" s="6">
        <f>ROUND(8.407077,2)</f>
        <v>8.41</v>
      </c>
      <c r="K1468" s="5">
        <f>ROUND(358494.58,0)</f>
        <v>358495</v>
      </c>
      <c r="L1468" s="7">
        <f>ROUND(0.000124592165316954,4)</f>
        <v>1E-4</v>
      </c>
    </row>
    <row r="1469" spans="1:12">
      <c r="A1469" s="3" t="s">
        <v>3043</v>
      </c>
      <c r="B1469" s="4" t="s">
        <v>3044</v>
      </c>
      <c r="C1469" s="4" t="s">
        <v>389</v>
      </c>
      <c r="D1469" s="4" t="s">
        <v>496</v>
      </c>
      <c r="E1469" s="4" t="s">
        <v>497</v>
      </c>
      <c r="F1469" s="4" t="s">
        <v>18</v>
      </c>
      <c r="G1469" s="4" t="s">
        <v>408</v>
      </c>
      <c r="H1469" s="5">
        <f>ROUND(420,0)</f>
        <v>420</v>
      </c>
      <c r="I1469" s="6">
        <f>ROUND(85.76,2)</f>
        <v>85.76</v>
      </c>
      <c r="J1469" s="6">
        <f>ROUND(9.9055,2)</f>
        <v>9.91</v>
      </c>
      <c r="K1469" s="5">
        <f>ROUND(356788.19,0)</f>
        <v>356788</v>
      </c>
      <c r="L1469" s="7">
        <f>ROUND(0.000123999121971709,4)</f>
        <v>1E-4</v>
      </c>
    </row>
    <row r="1470" spans="1:12">
      <c r="A1470" s="3" t="s">
        <v>3045</v>
      </c>
      <c r="B1470" s="4" t="s">
        <v>3046</v>
      </c>
      <c r="C1470" s="4" t="s">
        <v>545</v>
      </c>
      <c r="D1470" s="4" t="s">
        <v>541</v>
      </c>
      <c r="E1470" s="4" t="s">
        <v>542</v>
      </c>
      <c r="F1470" s="4" t="s">
        <v>18</v>
      </c>
      <c r="G1470" s="4" t="s">
        <v>408</v>
      </c>
      <c r="H1470" s="5">
        <f>ROUND(2833,0)</f>
        <v>2833</v>
      </c>
      <c r="I1470" s="6">
        <f>ROUND(12.705,2)</f>
        <v>12.71</v>
      </c>
      <c r="J1470" s="6">
        <f>ROUND(9.9055,2)</f>
        <v>9.91</v>
      </c>
      <c r="K1470" s="5">
        <f>ROUND(356531.34,0)</f>
        <v>356531</v>
      </c>
      <c r="L1470" s="7">
        <f>ROUND(0.000123909855635628,4)</f>
        <v>1E-4</v>
      </c>
    </row>
    <row r="1471" spans="1:12">
      <c r="A1471" s="3" t="s">
        <v>3047</v>
      </c>
      <c r="B1471" s="4" t="s">
        <v>3048</v>
      </c>
      <c r="C1471" s="4" t="s">
        <v>545</v>
      </c>
      <c r="D1471" s="4" t="s">
        <v>1217</v>
      </c>
      <c r="E1471" s="4" t="s">
        <v>1218</v>
      </c>
      <c r="F1471" s="4" t="s">
        <v>21</v>
      </c>
      <c r="G1471" s="4" t="s">
        <v>408</v>
      </c>
      <c r="H1471" s="5">
        <f>ROUND(1300,0)</f>
        <v>1300</v>
      </c>
      <c r="I1471" s="6">
        <f>ROUND(30.15,2)</f>
        <v>30.15</v>
      </c>
      <c r="J1471" s="6">
        <f>ROUND(9.08595,2)</f>
        <v>9.09</v>
      </c>
      <c r="K1471" s="5">
        <f>ROUND(356123.81,0)</f>
        <v>356124</v>
      </c>
      <c r="L1471" s="7">
        <f>ROUND(0.000123768221569273,4)</f>
        <v>1E-4</v>
      </c>
    </row>
    <row r="1472" spans="1:12">
      <c r="A1472" s="3" t="s">
        <v>3049</v>
      </c>
      <c r="B1472" s="4" t="s">
        <v>3050</v>
      </c>
      <c r="C1472" s="4" t="s">
        <v>422</v>
      </c>
      <c r="D1472" s="4" t="s">
        <v>489</v>
      </c>
      <c r="E1472" s="4" t="s">
        <v>490</v>
      </c>
      <c r="F1472" s="4" t="s">
        <v>45</v>
      </c>
      <c r="G1472" s="4" t="s">
        <v>408</v>
      </c>
      <c r="H1472" s="5">
        <f>ROUND(700,0)</f>
        <v>700</v>
      </c>
      <c r="I1472" s="6">
        <f>ROUND(6040,2)</f>
        <v>6040</v>
      </c>
      <c r="J1472" s="6">
        <f>ROUND(8.407077,2)</f>
        <v>8.41</v>
      </c>
      <c r="K1472" s="5">
        <f>ROUND(355451.22,0)</f>
        <v>355451</v>
      </c>
      <c r="L1472" s="7">
        <f>ROUND(0.000123534467841474,4)</f>
        <v>1E-4</v>
      </c>
    </row>
    <row r="1473" spans="1:12">
      <c r="A1473" s="3" t="s">
        <v>3051</v>
      </c>
      <c r="B1473" s="4" t="s">
        <v>3052</v>
      </c>
      <c r="C1473" s="4" t="s">
        <v>545</v>
      </c>
      <c r="D1473" s="4" t="s">
        <v>739</v>
      </c>
      <c r="E1473" s="4" t="s">
        <v>740</v>
      </c>
      <c r="F1473" s="4" t="s">
        <v>741</v>
      </c>
      <c r="G1473" s="4" t="s">
        <v>408</v>
      </c>
      <c r="H1473" s="5">
        <f>ROUND(279,0)</f>
        <v>279</v>
      </c>
      <c r="I1473" s="6">
        <f>ROUND(167500,2)</f>
        <v>167500</v>
      </c>
      <c r="J1473" s="6">
        <f>ROUND(0.00759599,2)</f>
        <v>0.01</v>
      </c>
      <c r="K1473" s="5">
        <f>ROUND(354979.6,0)</f>
        <v>354980</v>
      </c>
      <c r="L1473" s="7">
        <f>ROUND(0.000123370559765077,4)</f>
        <v>1E-4</v>
      </c>
    </row>
    <row r="1474" spans="1:12">
      <c r="A1474" s="3" t="s">
        <v>3053</v>
      </c>
      <c r="B1474" s="4" t="s">
        <v>3054</v>
      </c>
      <c r="C1474" s="4" t="s">
        <v>566</v>
      </c>
      <c r="D1474" s="4" t="s">
        <v>407</v>
      </c>
      <c r="E1474" s="4" t="s">
        <v>35</v>
      </c>
      <c r="F1474" s="4" t="s">
        <v>21</v>
      </c>
      <c r="G1474" s="4" t="s">
        <v>408</v>
      </c>
      <c r="H1474" s="5">
        <f>ROUND(300,0)</f>
        <v>300</v>
      </c>
      <c r="I1474" s="6">
        <f>ROUND(130.01,2)</f>
        <v>130.01</v>
      </c>
      <c r="J1474" s="6">
        <f>ROUND(9.08595,2)</f>
        <v>9.09</v>
      </c>
      <c r="K1474" s="5">
        <f>ROUND(354379.31,0)</f>
        <v>354379</v>
      </c>
      <c r="L1474" s="7">
        <f>ROUND(0.000123161933372683,4)</f>
        <v>1E-4</v>
      </c>
    </row>
    <row r="1475" spans="1:12">
      <c r="A1475" s="3" t="s">
        <v>3055</v>
      </c>
      <c r="B1475" s="4" t="s">
        <v>3056</v>
      </c>
      <c r="C1475" s="4" t="s">
        <v>534</v>
      </c>
      <c r="D1475" s="4" t="s">
        <v>407</v>
      </c>
      <c r="E1475" s="4" t="s">
        <v>35</v>
      </c>
      <c r="F1475" s="4" t="s">
        <v>21</v>
      </c>
      <c r="G1475" s="4" t="s">
        <v>408</v>
      </c>
      <c r="H1475" s="5">
        <f>ROUND(700,0)</f>
        <v>700</v>
      </c>
      <c r="I1475" s="6">
        <f>ROUND(55.66,2)</f>
        <v>55.66</v>
      </c>
      <c r="J1475" s="6">
        <f>ROUND(9.08595,2)</f>
        <v>9.09</v>
      </c>
      <c r="K1475" s="5">
        <f>ROUND(354006.78,0)</f>
        <v>354007</v>
      </c>
      <c r="L1475" s="7">
        <f>ROUND(0.000123032463299954,4)</f>
        <v>1E-4</v>
      </c>
    </row>
    <row r="1476" spans="1:12">
      <c r="A1476" s="3" t="s">
        <v>3057</v>
      </c>
      <c r="B1476" s="4" t="s">
        <v>3058</v>
      </c>
      <c r="C1476" s="4" t="s">
        <v>400</v>
      </c>
      <c r="D1476" s="4" t="s">
        <v>541</v>
      </c>
      <c r="E1476" s="4" t="s">
        <v>542</v>
      </c>
      <c r="F1476" s="4" t="s">
        <v>18</v>
      </c>
      <c r="G1476" s="4" t="s">
        <v>408</v>
      </c>
      <c r="H1476" s="5">
        <f>ROUND(6712,0)</f>
        <v>6712</v>
      </c>
      <c r="I1476" s="6">
        <f>ROUND(5.322,2)</f>
        <v>5.32</v>
      </c>
      <c r="J1476" s="6">
        <f>ROUND(9.9055,2)</f>
        <v>9.91</v>
      </c>
      <c r="K1476" s="5">
        <f>ROUND(353836.94,0)</f>
        <v>353837</v>
      </c>
      <c r="L1476" s="7">
        <f>ROUND(0.000122973436652027,4)</f>
        <v>1E-4</v>
      </c>
    </row>
    <row r="1477" spans="1:12">
      <c r="A1477" s="3" t="s">
        <v>3059</v>
      </c>
      <c r="B1477" s="4" t="s">
        <v>3060</v>
      </c>
      <c r="C1477" s="4" t="s">
        <v>430</v>
      </c>
      <c r="D1477" s="4" t="s">
        <v>514</v>
      </c>
      <c r="E1477" s="4" t="s">
        <v>515</v>
      </c>
      <c r="F1477" s="4" t="s">
        <v>190</v>
      </c>
      <c r="G1477" s="4" t="s">
        <v>408</v>
      </c>
      <c r="H1477" s="5">
        <f>ROUND(6119,0)</f>
        <v>6119</v>
      </c>
      <c r="I1477" s="6">
        <f>ROUND(8.42,2)</f>
        <v>8.42</v>
      </c>
      <c r="J1477" s="6">
        <f>ROUND(6.86237833,2)</f>
        <v>6.86</v>
      </c>
      <c r="K1477" s="5">
        <f>ROUND(353563.32,0)</f>
        <v>353563</v>
      </c>
      <c r="L1477" s="7">
        <f>ROUND(0.000122878342025285,4)</f>
        <v>1E-4</v>
      </c>
    </row>
    <row r="1478" spans="1:12">
      <c r="A1478" s="3" t="s">
        <v>3061</v>
      </c>
      <c r="B1478" s="4" t="s">
        <v>3062</v>
      </c>
      <c r="C1478" s="4" t="s">
        <v>534</v>
      </c>
      <c r="D1478" s="4" t="s">
        <v>489</v>
      </c>
      <c r="E1478" s="4" t="s">
        <v>490</v>
      </c>
      <c r="F1478" s="4" t="s">
        <v>45</v>
      </c>
      <c r="G1478" s="4" t="s">
        <v>408</v>
      </c>
      <c r="H1478" s="5">
        <f>ROUND(2000,0)</f>
        <v>2000</v>
      </c>
      <c r="I1478" s="6">
        <f>ROUND(2095,2)</f>
        <v>2095</v>
      </c>
      <c r="J1478" s="6">
        <f>ROUND(8.407077,2)</f>
        <v>8.41</v>
      </c>
      <c r="K1478" s="5">
        <f>ROUND(352256.53,0)</f>
        <v>352257</v>
      </c>
      <c r="L1478" s="7">
        <f>ROUND(0.000122424176732983,4)</f>
        <v>1E-4</v>
      </c>
    </row>
    <row r="1479" spans="1:12">
      <c r="A1479" s="3" t="s">
        <v>3063</v>
      </c>
      <c r="B1479" s="4" t="s">
        <v>3064</v>
      </c>
      <c r="C1479" s="4" t="s">
        <v>415</v>
      </c>
      <c r="D1479" s="4" t="s">
        <v>407</v>
      </c>
      <c r="E1479" s="4" t="s">
        <v>35</v>
      </c>
      <c r="F1479" s="4" t="s">
        <v>21</v>
      </c>
      <c r="G1479" s="4" t="s">
        <v>408</v>
      </c>
      <c r="H1479" s="5">
        <f>ROUND(583,0)</f>
        <v>583</v>
      </c>
      <c r="I1479" s="6">
        <f>ROUND(66.34,2)</f>
        <v>66.34</v>
      </c>
      <c r="J1479" s="6">
        <f>ROUND(9.08595,2)</f>
        <v>9.09</v>
      </c>
      <c r="K1479" s="5">
        <f>ROUND(351410.2,0)</f>
        <v>351410</v>
      </c>
      <c r="L1479" s="7">
        <f>ROUND(0.000122130040940825,4)</f>
        <v>1E-4</v>
      </c>
    </row>
    <row r="1480" spans="1:12">
      <c r="A1480" s="3" t="s">
        <v>3065</v>
      </c>
      <c r="B1480" s="4" t="s">
        <v>3066</v>
      </c>
      <c r="C1480" s="4" t="s">
        <v>534</v>
      </c>
      <c r="D1480" s="4" t="s">
        <v>739</v>
      </c>
      <c r="E1480" s="4" t="s">
        <v>740</v>
      </c>
      <c r="F1480" s="4" t="s">
        <v>741</v>
      </c>
      <c r="G1480" s="4" t="s">
        <v>408</v>
      </c>
      <c r="H1480" s="5">
        <f>ROUND(998,0)</f>
        <v>998</v>
      </c>
      <c r="I1480" s="6">
        <f>ROUND(46300,2)</f>
        <v>46300</v>
      </c>
      <c r="J1480" s="6">
        <f>ROUND(0.00759599,2)</f>
        <v>0.01</v>
      </c>
      <c r="K1480" s="5">
        <f>ROUND(350990.95,0)</f>
        <v>350991</v>
      </c>
      <c r="L1480" s="7">
        <f>ROUND(0.000121984333674318,4)</f>
        <v>1E-4</v>
      </c>
    </row>
    <row r="1481" spans="1:12">
      <c r="A1481" s="3" t="s">
        <v>3067</v>
      </c>
      <c r="B1481" s="4" t="s">
        <v>3068</v>
      </c>
      <c r="C1481" s="4" t="s">
        <v>534</v>
      </c>
      <c r="D1481" s="4" t="s">
        <v>1724</v>
      </c>
      <c r="E1481" s="4" t="s">
        <v>1725</v>
      </c>
      <c r="F1481" s="4" t="s">
        <v>1726</v>
      </c>
      <c r="G1481" s="4" t="s">
        <v>408</v>
      </c>
      <c r="H1481" s="5">
        <f>ROUND(91500,0)</f>
        <v>91500</v>
      </c>
      <c r="I1481" s="6">
        <f>ROUND(1.76,2)</f>
        <v>1.76</v>
      </c>
      <c r="J1481" s="6">
        <f>ROUND(2.17002213,2)</f>
        <v>2.17</v>
      </c>
      <c r="K1481" s="5">
        <f>ROUND(349460.36,0)</f>
        <v>349460</v>
      </c>
      <c r="L1481" s="7">
        <f>ROUND(0.000121452388331344,4)</f>
        <v>1E-4</v>
      </c>
    </row>
    <row r="1482" spans="1:12">
      <c r="A1482" s="3" t="s">
        <v>3069</v>
      </c>
      <c r="B1482" s="4" t="s">
        <v>3070</v>
      </c>
      <c r="C1482" s="4" t="s">
        <v>406</v>
      </c>
      <c r="D1482" s="4" t="s">
        <v>407</v>
      </c>
      <c r="E1482" s="4" t="s">
        <v>35</v>
      </c>
      <c r="F1482" s="4" t="s">
        <v>21</v>
      </c>
      <c r="G1482" s="4" t="s">
        <v>408</v>
      </c>
      <c r="H1482" s="5">
        <f>ROUND(300,0)</f>
        <v>300</v>
      </c>
      <c r="I1482" s="6">
        <f>ROUND(128.13,2)</f>
        <v>128.13</v>
      </c>
      <c r="J1482" s="6">
        <f>ROUND(9.08595,2)</f>
        <v>9.09</v>
      </c>
      <c r="K1482" s="5">
        <f>ROUND(349254.83,0)</f>
        <v>349255</v>
      </c>
      <c r="L1482" s="7">
        <f>ROUND(0.000121380957885345,4)</f>
        <v>1E-4</v>
      </c>
    </row>
    <row r="1483" spans="1:12">
      <c r="A1483" s="3" t="s">
        <v>3071</v>
      </c>
      <c r="B1483" s="4" t="s">
        <v>3072</v>
      </c>
      <c r="C1483" s="4" t="s">
        <v>389</v>
      </c>
      <c r="D1483" s="4" t="s">
        <v>407</v>
      </c>
      <c r="E1483" s="4" t="s">
        <v>35</v>
      </c>
      <c r="F1483" s="4" t="s">
        <v>21</v>
      </c>
      <c r="G1483" s="4" t="s">
        <v>408</v>
      </c>
      <c r="H1483" s="5">
        <f>ROUND(2509,0)</f>
        <v>2509</v>
      </c>
      <c r="I1483" s="6">
        <f>ROUND(15.32,2)</f>
        <v>15.32</v>
      </c>
      <c r="J1483" s="6">
        <f>ROUND(9.08595,2)</f>
        <v>9.09</v>
      </c>
      <c r="K1483" s="5">
        <f>ROUND(349244.66,0)</f>
        <v>349245</v>
      </c>
      <c r="L1483" s="7">
        <f>ROUND(0.00012137742337634,4)</f>
        <v>1E-4</v>
      </c>
    </row>
    <row r="1484" spans="1:12">
      <c r="A1484" s="3" t="s">
        <v>2287</v>
      </c>
      <c r="B1484" s="4" t="s">
        <v>3073</v>
      </c>
      <c r="C1484" s="4" t="s">
        <v>400</v>
      </c>
      <c r="D1484" s="4" t="s">
        <v>717</v>
      </c>
      <c r="E1484" s="4" t="s">
        <v>718</v>
      </c>
      <c r="F1484" s="4" t="s">
        <v>20</v>
      </c>
      <c r="G1484" s="4" t="s">
        <v>408</v>
      </c>
      <c r="H1484" s="5">
        <f>ROUND(29926,0)</f>
        <v>29926</v>
      </c>
      <c r="I1484" s="6">
        <f>ROUND(103.95,2)</f>
        <v>103.95</v>
      </c>
      <c r="J1484" s="6">
        <f>ROUND(11.19645077,2)</f>
        <v>11.2</v>
      </c>
      <c r="K1484" s="5">
        <f>ROUND(348300.09,0)</f>
        <v>348300</v>
      </c>
      <c r="L1484" s="7">
        <f>ROUND(0.000121049144991787,4)</f>
        <v>1E-4</v>
      </c>
    </row>
    <row r="1485" spans="1:12">
      <c r="A1485" s="3" t="s">
        <v>3074</v>
      </c>
      <c r="B1485" s="4" t="s">
        <v>3075</v>
      </c>
      <c r="C1485" s="4" t="s">
        <v>534</v>
      </c>
      <c r="D1485" s="4" t="s">
        <v>489</v>
      </c>
      <c r="E1485" s="4" t="s">
        <v>490</v>
      </c>
      <c r="F1485" s="4" t="s">
        <v>45</v>
      </c>
      <c r="G1485" s="4" t="s">
        <v>408</v>
      </c>
      <c r="H1485" s="5">
        <f>ROUND(1600,0)</f>
        <v>1600</v>
      </c>
      <c r="I1485" s="6">
        <f>ROUND(2588,2)</f>
        <v>2588</v>
      </c>
      <c r="J1485" s="6">
        <f>ROUND(8.407077,2)</f>
        <v>8.41</v>
      </c>
      <c r="K1485" s="5">
        <f>ROUND(348120.24,0)</f>
        <v>348120</v>
      </c>
      <c r="L1485" s="7">
        <f>ROUND(0.000120986639441683,4)</f>
        <v>1E-4</v>
      </c>
    </row>
    <row r="1486" spans="1:12">
      <c r="A1486" s="3" t="s">
        <v>3076</v>
      </c>
      <c r="B1486" s="4" t="s">
        <v>3077</v>
      </c>
      <c r="C1486" s="4" t="s">
        <v>445</v>
      </c>
      <c r="D1486" s="4" t="s">
        <v>489</v>
      </c>
      <c r="E1486" s="4" t="s">
        <v>490</v>
      </c>
      <c r="F1486" s="4" t="s">
        <v>45</v>
      </c>
      <c r="G1486" s="4" t="s">
        <v>408</v>
      </c>
      <c r="H1486" s="5">
        <f>ROUND(2200,0)</f>
        <v>2200</v>
      </c>
      <c r="I1486" s="6">
        <f>ROUND(1878,2)</f>
        <v>1878</v>
      </c>
      <c r="J1486" s="6">
        <f>ROUND(8.407077,2)</f>
        <v>8.41</v>
      </c>
      <c r="K1486" s="5">
        <f>ROUND(347346.79,0)</f>
        <v>347347</v>
      </c>
      <c r="L1486" s="7">
        <f>ROUND(0.000120717832559681,4)</f>
        <v>1E-4</v>
      </c>
    </row>
    <row r="1487" spans="1:12">
      <c r="A1487" s="3" t="s">
        <v>3078</v>
      </c>
      <c r="B1487" s="4" t="s">
        <v>3079</v>
      </c>
      <c r="C1487" s="4" t="s">
        <v>566</v>
      </c>
      <c r="D1487" s="4" t="s">
        <v>456</v>
      </c>
      <c r="E1487" s="4" t="s">
        <v>457</v>
      </c>
      <c r="F1487" s="4" t="s">
        <v>26</v>
      </c>
      <c r="G1487" s="4" t="s">
        <v>408</v>
      </c>
      <c r="H1487" s="5">
        <f>ROUND(7000,0)</f>
        <v>7000</v>
      </c>
      <c r="I1487" s="6">
        <f>ROUND(42.8,2)</f>
        <v>42.8</v>
      </c>
      <c r="J1487" s="6">
        <f>ROUND(1.15901246,2)</f>
        <v>1.1599999999999999</v>
      </c>
      <c r="K1487" s="5">
        <f>ROUND(347240.13,0)</f>
        <v>347240</v>
      </c>
      <c r="L1487" s="7">
        <f>ROUND(0.000120680763657962,4)</f>
        <v>1E-4</v>
      </c>
    </row>
    <row r="1488" spans="1:12">
      <c r="A1488" s="3" t="s">
        <v>3080</v>
      </c>
      <c r="B1488" s="4" t="s">
        <v>3081</v>
      </c>
      <c r="C1488" s="4" t="s">
        <v>493</v>
      </c>
      <c r="D1488" s="4" t="s">
        <v>489</v>
      </c>
      <c r="E1488" s="4" t="s">
        <v>490</v>
      </c>
      <c r="F1488" s="4" t="s">
        <v>45</v>
      </c>
      <c r="G1488" s="4" t="s">
        <v>408</v>
      </c>
      <c r="H1488" s="5">
        <f>ROUND(1000,0)</f>
        <v>1000</v>
      </c>
      <c r="I1488" s="6">
        <f>ROUND(4130,2)</f>
        <v>4130</v>
      </c>
      <c r="J1488" s="6">
        <f>ROUND(8.407077,2)</f>
        <v>8.41</v>
      </c>
      <c r="K1488" s="5">
        <f>ROUND(347212.28,0)</f>
        <v>347212</v>
      </c>
      <c r="L1488" s="7">
        <f>ROUND(0.000120671084594463,4)</f>
        <v>1E-4</v>
      </c>
    </row>
    <row r="1489" spans="1:12">
      <c r="A1489" s="3" t="s">
        <v>3082</v>
      </c>
      <c r="B1489" s="4" t="s">
        <v>3083</v>
      </c>
      <c r="C1489" s="4" t="s">
        <v>445</v>
      </c>
      <c r="D1489" s="4" t="s">
        <v>489</v>
      </c>
      <c r="E1489" s="4" t="s">
        <v>490</v>
      </c>
      <c r="F1489" s="4" t="s">
        <v>45</v>
      </c>
      <c r="G1489" s="4" t="s">
        <v>408</v>
      </c>
      <c r="H1489" s="5">
        <f>ROUND(2100,0)</f>
        <v>2100</v>
      </c>
      <c r="I1489" s="6">
        <f>ROUND(1957,2)</f>
        <v>1957</v>
      </c>
      <c r="J1489" s="6">
        <f>ROUND(8.407077,2)</f>
        <v>8.41</v>
      </c>
      <c r="K1489" s="5">
        <f>ROUND(345505.64,0)</f>
        <v>345506</v>
      </c>
      <c r="L1489" s="7">
        <f>ROUND(0.00012007795436355,4)</f>
        <v>1E-4</v>
      </c>
    </row>
    <row r="1490" spans="1:12">
      <c r="A1490" s="3" t="s">
        <v>3084</v>
      </c>
      <c r="B1490" s="4" t="s">
        <v>3085</v>
      </c>
      <c r="C1490" s="4" t="s">
        <v>400</v>
      </c>
      <c r="D1490" s="4" t="s">
        <v>655</v>
      </c>
      <c r="E1490" s="4" t="s">
        <v>656</v>
      </c>
      <c r="F1490" s="4" t="s">
        <v>26</v>
      </c>
      <c r="G1490" s="4" t="s">
        <v>408</v>
      </c>
      <c r="H1490" s="5">
        <f>ROUND(58000,0)</f>
        <v>58000</v>
      </c>
      <c r="I1490" s="6">
        <f>ROUND(5.12,2)</f>
        <v>5.12</v>
      </c>
      <c r="J1490" s="6">
        <f>ROUND(1.15901246,2)</f>
        <v>1.1599999999999999</v>
      </c>
      <c r="K1490" s="5">
        <f>ROUND(344180.34,0)</f>
        <v>344180</v>
      </c>
      <c r="L1490" s="7">
        <f>ROUND(0.000119617356056332,4)</f>
        <v>1E-4</v>
      </c>
    </row>
    <row r="1491" spans="1:12">
      <c r="A1491" s="3" t="s">
        <v>3086</v>
      </c>
      <c r="B1491" s="4" t="s">
        <v>3087</v>
      </c>
      <c r="C1491" s="4" t="s">
        <v>406</v>
      </c>
      <c r="D1491" s="4" t="s">
        <v>489</v>
      </c>
      <c r="E1491" s="4" t="s">
        <v>490</v>
      </c>
      <c r="F1491" s="4" t="s">
        <v>45</v>
      </c>
      <c r="G1491" s="4" t="s">
        <v>408</v>
      </c>
      <c r="H1491" s="5">
        <f>ROUND(200,0)</f>
        <v>200</v>
      </c>
      <c r="I1491" s="6">
        <f>ROUND(20460,2)</f>
        <v>20460</v>
      </c>
      <c r="J1491" s="6">
        <f>ROUND(8.407077,2)</f>
        <v>8.41</v>
      </c>
      <c r="K1491" s="5">
        <f>ROUND(344017.59,0)</f>
        <v>344018</v>
      </c>
      <c r="L1491" s="7">
        <f>ROUND(0.000119560793485971,4)</f>
        <v>1E-4</v>
      </c>
    </row>
    <row r="1492" spans="1:12">
      <c r="A1492" s="3" t="s">
        <v>3088</v>
      </c>
      <c r="B1492" s="4" t="s">
        <v>3089</v>
      </c>
      <c r="C1492" s="4" t="s">
        <v>389</v>
      </c>
      <c r="D1492" s="4" t="s">
        <v>407</v>
      </c>
      <c r="E1492" s="4" t="s">
        <v>35</v>
      </c>
      <c r="F1492" s="4" t="s">
        <v>21</v>
      </c>
      <c r="G1492" s="4" t="s">
        <v>408</v>
      </c>
      <c r="H1492" s="5">
        <f>ROUND(228,0)</f>
        <v>228</v>
      </c>
      <c r="I1492" s="6">
        <f>ROUND(165.4,2)</f>
        <v>165.4</v>
      </c>
      <c r="J1492" s="6">
        <f>ROUND(9.08595,2)</f>
        <v>9.09</v>
      </c>
      <c r="K1492" s="5">
        <f>ROUND(342642.08,0)</f>
        <v>342642</v>
      </c>
      <c r="L1492" s="7">
        <f>ROUND(0.000119082745061041,4)</f>
        <v>1E-4</v>
      </c>
    </row>
    <row r="1493" spans="1:12">
      <c r="A1493" s="3" t="s">
        <v>3090</v>
      </c>
      <c r="B1493" s="4" t="s">
        <v>3091</v>
      </c>
      <c r="C1493" s="4" t="s">
        <v>545</v>
      </c>
      <c r="D1493" s="4" t="s">
        <v>717</v>
      </c>
      <c r="E1493" s="4" t="s">
        <v>718</v>
      </c>
      <c r="F1493" s="4" t="s">
        <v>175</v>
      </c>
      <c r="G1493" s="4" t="s">
        <v>408</v>
      </c>
      <c r="H1493" s="5">
        <f>ROUND(5998,0)</f>
        <v>5998</v>
      </c>
      <c r="I1493" s="6">
        <f>ROUND(9528,2)</f>
        <v>9528</v>
      </c>
      <c r="J1493" s="6">
        <f>ROUND(0.59923836,2)</f>
        <v>0.6</v>
      </c>
      <c r="K1493" s="5">
        <f>ROUND(342458.39,0)</f>
        <v>342458</v>
      </c>
      <c r="L1493" s="7">
        <f>ROUND(0.000119018904947064,4)</f>
        <v>1E-4</v>
      </c>
    </row>
    <row r="1494" spans="1:12">
      <c r="A1494" s="3" t="s">
        <v>3092</v>
      </c>
      <c r="B1494" s="4" t="s">
        <v>3093</v>
      </c>
      <c r="C1494" s="4" t="s">
        <v>400</v>
      </c>
      <c r="D1494" s="4" t="s">
        <v>717</v>
      </c>
      <c r="E1494" s="4" t="s">
        <v>718</v>
      </c>
      <c r="F1494" s="4" t="s">
        <v>175</v>
      </c>
      <c r="G1494" s="4" t="s">
        <v>408</v>
      </c>
      <c r="H1494" s="5">
        <f>ROUND(3728,0)</f>
        <v>3728</v>
      </c>
      <c r="I1494" s="6">
        <f>ROUND(15287,2)</f>
        <v>15287</v>
      </c>
      <c r="J1494" s="6">
        <f>ROUND(0.59923836,2)</f>
        <v>0.6</v>
      </c>
      <c r="K1494" s="5">
        <f>ROUND(341505.56,0)</f>
        <v>341506</v>
      </c>
      <c r="L1494" s="7">
        <f>ROUND(0.000118687755860016,4)</f>
        <v>1E-4</v>
      </c>
    </row>
    <row r="1495" spans="1:12">
      <c r="A1495" s="3" t="s">
        <v>3094</v>
      </c>
      <c r="B1495" s="4" t="s">
        <v>3095</v>
      </c>
      <c r="C1495" s="4" t="s">
        <v>545</v>
      </c>
      <c r="D1495" s="4" t="s">
        <v>489</v>
      </c>
      <c r="E1495" s="4" t="s">
        <v>490</v>
      </c>
      <c r="F1495" s="4" t="s">
        <v>45</v>
      </c>
      <c r="G1495" s="4" t="s">
        <v>408</v>
      </c>
      <c r="H1495" s="5">
        <f>ROUND(900,0)</f>
        <v>900</v>
      </c>
      <c r="I1495" s="6">
        <f>ROUND(4495,2)</f>
        <v>4495</v>
      </c>
      <c r="J1495" s="6">
        <f>ROUND(8.407077,2)</f>
        <v>8.41</v>
      </c>
      <c r="K1495" s="5">
        <f>ROUND(340108.3,0)</f>
        <v>340108</v>
      </c>
      <c r="L1495" s="7">
        <f>ROUND(0.000118202148381903,4)</f>
        <v>1E-4</v>
      </c>
    </row>
    <row r="1496" spans="1:12">
      <c r="A1496" s="3" t="s">
        <v>3096</v>
      </c>
      <c r="B1496" s="4" t="s">
        <v>3097</v>
      </c>
      <c r="C1496" s="4" t="s">
        <v>430</v>
      </c>
      <c r="D1496" s="4" t="s">
        <v>407</v>
      </c>
      <c r="E1496" s="4" t="s">
        <v>35</v>
      </c>
      <c r="F1496" s="4" t="s">
        <v>21</v>
      </c>
      <c r="G1496" s="4" t="s">
        <v>408</v>
      </c>
      <c r="H1496" s="5">
        <f>ROUND(2228,0)</f>
        <v>2228</v>
      </c>
      <c r="I1496" s="6">
        <f>ROUND(16.8,2)</f>
        <v>16.8</v>
      </c>
      <c r="J1496" s="6">
        <f>ROUND(9.08595,2)</f>
        <v>9.09</v>
      </c>
      <c r="K1496" s="5">
        <f>ROUND(340090.74,0)</f>
        <v>340091</v>
      </c>
      <c r="L1496" s="7">
        <f>ROUND(0.00011819604553253,4)</f>
        <v>1E-4</v>
      </c>
    </row>
    <row r="1497" spans="1:12">
      <c r="A1497" s="3" t="s">
        <v>3098</v>
      </c>
      <c r="B1497" s="4" t="s">
        <v>3099</v>
      </c>
      <c r="C1497" s="4" t="s">
        <v>400</v>
      </c>
      <c r="D1497" s="4" t="s">
        <v>2447</v>
      </c>
      <c r="E1497" s="4" t="s">
        <v>2448</v>
      </c>
      <c r="F1497" s="4" t="s">
        <v>250</v>
      </c>
      <c r="G1497" s="4" t="s">
        <v>408</v>
      </c>
      <c r="H1497" s="5">
        <f>ROUND(4014,0)</f>
        <v>4014</v>
      </c>
      <c r="I1497" s="6">
        <f>ROUND(37.38,2)</f>
        <v>37.380000000000003</v>
      </c>
      <c r="J1497" s="6">
        <f>ROUND(2.26631585,2)</f>
        <v>2.27</v>
      </c>
      <c r="K1497" s="5">
        <f>ROUND(340045.55,0)</f>
        <v>340046</v>
      </c>
      <c r="L1497" s="7">
        <f>ROUND(0.000118180340079045,4)</f>
        <v>1E-4</v>
      </c>
    </row>
    <row r="1498" spans="1:12">
      <c r="A1498" s="3" t="s">
        <v>3100</v>
      </c>
      <c r="B1498" s="4" t="s">
        <v>3101</v>
      </c>
      <c r="C1498" s="4" t="s">
        <v>545</v>
      </c>
      <c r="D1498" s="4" t="s">
        <v>407</v>
      </c>
      <c r="E1498" s="4" t="s">
        <v>35</v>
      </c>
      <c r="F1498" s="4" t="s">
        <v>21</v>
      </c>
      <c r="G1498" s="4" t="s">
        <v>408</v>
      </c>
      <c r="H1498" s="5">
        <f>ROUND(2504,0)</f>
        <v>2504</v>
      </c>
      <c r="I1498" s="6">
        <f>ROUND(14.94,2)</f>
        <v>14.94</v>
      </c>
      <c r="J1498" s="6">
        <f>ROUND(9.08595,2)</f>
        <v>9.09</v>
      </c>
      <c r="K1498" s="5">
        <f>ROUND(339903.21,0)</f>
        <v>339903</v>
      </c>
      <c r="L1498" s="7">
        <f>ROUND(0.000118130870854681,4)</f>
        <v>1E-4</v>
      </c>
    </row>
    <row r="1499" spans="1:12">
      <c r="A1499" s="3" t="s">
        <v>3102</v>
      </c>
      <c r="B1499" s="4" t="s">
        <v>3103</v>
      </c>
      <c r="C1499" s="4" t="s">
        <v>545</v>
      </c>
      <c r="D1499" s="4" t="s">
        <v>489</v>
      </c>
      <c r="E1499" s="4" t="s">
        <v>490</v>
      </c>
      <c r="F1499" s="4" t="s">
        <v>45</v>
      </c>
      <c r="G1499" s="4" t="s">
        <v>408</v>
      </c>
      <c r="H1499" s="5">
        <f>ROUND(1200,0)</f>
        <v>1200</v>
      </c>
      <c r="I1499" s="6">
        <f>ROUND(3365,2)</f>
        <v>3365</v>
      </c>
      <c r="J1499" s="6">
        <f>ROUND(8.407077,2)</f>
        <v>8.41</v>
      </c>
      <c r="K1499" s="5">
        <f>ROUND(339477.77,0)</f>
        <v>339478</v>
      </c>
      <c r="L1499" s="7">
        <f>ROUND(0.000117983012299016,4)</f>
        <v>1E-4</v>
      </c>
    </row>
    <row r="1500" spans="1:12">
      <c r="A1500" s="3" t="s">
        <v>3104</v>
      </c>
      <c r="B1500" s="4" t="s">
        <v>3105</v>
      </c>
      <c r="C1500" s="4" t="s">
        <v>566</v>
      </c>
      <c r="D1500" s="4" t="s">
        <v>552</v>
      </c>
      <c r="E1500" s="4" t="s">
        <v>553</v>
      </c>
      <c r="F1500" s="4" t="s">
        <v>26</v>
      </c>
      <c r="G1500" s="4" t="s">
        <v>408</v>
      </c>
      <c r="H1500" s="5">
        <f>ROUND(4000,0)</f>
        <v>4000</v>
      </c>
      <c r="I1500" s="6">
        <f>ROUND(72.95,2)</f>
        <v>72.95</v>
      </c>
      <c r="J1500" s="6">
        <f>ROUND(1.15901246,2)</f>
        <v>1.1599999999999999</v>
      </c>
      <c r="K1500" s="5">
        <f>ROUND(338199.84,0)</f>
        <v>338200</v>
      </c>
      <c r="L1500" s="7">
        <f>ROUND(0.000117538877088315,4)</f>
        <v>1E-4</v>
      </c>
    </row>
    <row r="1501" spans="1:12">
      <c r="A1501" s="3" t="s">
        <v>3106</v>
      </c>
      <c r="B1501" s="4" t="s">
        <v>3107</v>
      </c>
      <c r="C1501" s="4" t="s">
        <v>389</v>
      </c>
      <c r="D1501" s="4" t="s">
        <v>407</v>
      </c>
      <c r="E1501" s="4" t="s">
        <v>35</v>
      </c>
      <c r="F1501" s="4" t="s">
        <v>21</v>
      </c>
      <c r="G1501" s="4" t="s">
        <v>408</v>
      </c>
      <c r="H1501" s="5">
        <f>ROUND(300,0)</f>
        <v>300</v>
      </c>
      <c r="I1501" s="6">
        <f>ROUND(124.07,2)</f>
        <v>124.07</v>
      </c>
      <c r="J1501" s="6">
        <f>ROUND(9.08595,2)</f>
        <v>9.09</v>
      </c>
      <c r="K1501" s="5">
        <f>ROUND(338188.14,0)</f>
        <v>338188</v>
      </c>
      <c r="L1501" s="7">
        <f>ROUND(0.000117534810839018,4)</f>
        <v>1E-4</v>
      </c>
    </row>
    <row r="1502" spans="1:12">
      <c r="A1502" s="3" t="s">
        <v>3108</v>
      </c>
      <c r="B1502" s="4" t="s">
        <v>3109</v>
      </c>
      <c r="C1502" s="4" t="s">
        <v>430</v>
      </c>
      <c r="D1502" s="4" t="s">
        <v>489</v>
      </c>
      <c r="E1502" s="4" t="s">
        <v>490</v>
      </c>
      <c r="F1502" s="4" t="s">
        <v>45</v>
      </c>
      <c r="G1502" s="4" t="s">
        <v>408</v>
      </c>
      <c r="H1502" s="5">
        <f>ROUND(1315,0)</f>
        <v>1315</v>
      </c>
      <c r="I1502" s="6">
        <f>ROUND(3055,2)</f>
        <v>3055</v>
      </c>
      <c r="J1502" s="6">
        <f>ROUND(8.407077,2)</f>
        <v>8.41</v>
      </c>
      <c r="K1502" s="5">
        <f>ROUND(337739.61,0)</f>
        <v>337740</v>
      </c>
      <c r="L1502" s="7">
        <f>ROUND(0.000117378927522986,4)</f>
        <v>1E-4</v>
      </c>
    </row>
    <row r="1503" spans="1:12">
      <c r="A1503" s="3" t="s">
        <v>3110</v>
      </c>
      <c r="B1503" s="4" t="s">
        <v>3111</v>
      </c>
      <c r="C1503" s="4" t="s">
        <v>415</v>
      </c>
      <c r="D1503" s="4" t="s">
        <v>456</v>
      </c>
      <c r="E1503" s="4" t="s">
        <v>457</v>
      </c>
      <c r="F1503" s="4" t="s">
        <v>21</v>
      </c>
      <c r="G1503" s="4" t="s">
        <v>408</v>
      </c>
      <c r="H1503" s="5">
        <f>ROUND(447,0)</f>
        <v>447</v>
      </c>
      <c r="I1503" s="6">
        <f>ROUND(83.13,2)</f>
        <v>83.13</v>
      </c>
      <c r="J1503" s="6">
        <f>ROUND(9.08595,2)</f>
        <v>9.09</v>
      </c>
      <c r="K1503" s="5">
        <f>ROUND(337625.82,0)</f>
        <v>337626</v>
      </c>
      <c r="L1503" s="7">
        <f>ROUND(0.000117339380641995,4)</f>
        <v>1E-4</v>
      </c>
    </row>
    <row r="1504" spans="1:12">
      <c r="A1504" s="3" t="s">
        <v>3112</v>
      </c>
      <c r="B1504" s="4" t="s">
        <v>3113</v>
      </c>
      <c r="C1504" s="4" t="s">
        <v>545</v>
      </c>
      <c r="D1504" s="4" t="s">
        <v>655</v>
      </c>
      <c r="E1504" s="4" t="s">
        <v>656</v>
      </c>
      <c r="F1504" s="4" t="s">
        <v>26</v>
      </c>
      <c r="G1504" s="4" t="s">
        <v>408</v>
      </c>
      <c r="H1504" s="5">
        <f>ROUND(98000,0)</f>
        <v>98000</v>
      </c>
      <c r="I1504" s="6">
        <f>ROUND(2.95,2)</f>
        <v>2.95</v>
      </c>
      <c r="J1504" s="6">
        <f>ROUND(1.15901246,2)</f>
        <v>1.1599999999999999</v>
      </c>
      <c r="K1504" s="5">
        <f>ROUND(335070.5,0)</f>
        <v>335071</v>
      </c>
      <c r="L1504" s="7">
        <f>ROUND(0.000116451297893637,4)</f>
        <v>1E-4</v>
      </c>
    </row>
    <row r="1505" spans="1:12">
      <c r="A1505" s="3" t="s">
        <v>3114</v>
      </c>
      <c r="B1505" s="4" t="s">
        <v>3115</v>
      </c>
      <c r="C1505" s="4" t="s">
        <v>445</v>
      </c>
      <c r="D1505" s="4" t="s">
        <v>1228</v>
      </c>
      <c r="E1505" s="4" t="s">
        <v>1229</v>
      </c>
      <c r="F1505" s="4" t="s">
        <v>18</v>
      </c>
      <c r="G1505" s="4" t="s">
        <v>408</v>
      </c>
      <c r="H1505" s="5">
        <f>ROUND(79,0)</f>
        <v>79</v>
      </c>
      <c r="I1505" s="6">
        <f>ROUND(426.4,2)</f>
        <v>426.4</v>
      </c>
      <c r="J1505" s="6">
        <f>ROUND(9.9055,2)</f>
        <v>9.91</v>
      </c>
      <c r="K1505" s="5">
        <f>ROUND(333672.71,0)</f>
        <v>333673</v>
      </c>
      <c r="L1505" s="7">
        <f>ROUND(0.000115965506217907,4)</f>
        <v>1E-4</v>
      </c>
    </row>
    <row r="1506" spans="1:12">
      <c r="A1506" s="3" t="s">
        <v>3116</v>
      </c>
      <c r="B1506" s="4" t="s">
        <v>3117</v>
      </c>
      <c r="C1506" s="4" t="s">
        <v>545</v>
      </c>
      <c r="D1506" s="4" t="s">
        <v>514</v>
      </c>
      <c r="E1506" s="4" t="s">
        <v>515</v>
      </c>
      <c r="F1506" s="4" t="s">
        <v>190</v>
      </c>
      <c r="G1506" s="4" t="s">
        <v>408</v>
      </c>
      <c r="H1506" s="5">
        <f>ROUND(7785,0)</f>
        <v>7785</v>
      </c>
      <c r="I1506" s="6">
        <f>ROUND(6.23,2)</f>
        <v>6.23</v>
      </c>
      <c r="J1506" s="6">
        <f>ROUND(6.86237833,2)</f>
        <v>6.86</v>
      </c>
      <c r="K1506" s="5">
        <f>ROUND(332829.12,0)</f>
        <v>332829</v>
      </c>
      <c r="L1506" s="7">
        <f>ROUND(0.000115672322692678,4)</f>
        <v>1E-4</v>
      </c>
    </row>
    <row r="1507" spans="1:12">
      <c r="A1507" s="3" t="s">
        <v>3118</v>
      </c>
      <c r="B1507" s="4" t="s">
        <v>3119</v>
      </c>
      <c r="C1507" s="4" t="s">
        <v>445</v>
      </c>
      <c r="D1507" s="4" t="s">
        <v>1246</v>
      </c>
      <c r="E1507" s="4" t="s">
        <v>1247</v>
      </c>
      <c r="F1507" s="4" t="s">
        <v>21</v>
      </c>
      <c r="G1507" s="4" t="s">
        <v>408</v>
      </c>
      <c r="H1507" s="5">
        <f>ROUND(5296,0)</f>
        <v>5296</v>
      </c>
      <c r="I1507" s="6">
        <f>ROUND(6.88,2)</f>
        <v>6.88</v>
      </c>
      <c r="J1507" s="6">
        <f>ROUND(9.08595,2)</f>
        <v>9.09</v>
      </c>
      <c r="K1507" s="5">
        <f>ROUND(331060.04,0)</f>
        <v>331060</v>
      </c>
      <c r="L1507" s="7">
        <f>ROUND(0.000115057491897136,4)</f>
        <v>1E-4</v>
      </c>
    </row>
    <row r="1508" spans="1:12">
      <c r="A1508" s="3" t="s">
        <v>3120</v>
      </c>
      <c r="B1508" s="4" t="s">
        <v>3121</v>
      </c>
      <c r="C1508" s="4" t="s">
        <v>545</v>
      </c>
      <c r="D1508" s="4" t="s">
        <v>489</v>
      </c>
      <c r="E1508" s="4" t="s">
        <v>490</v>
      </c>
      <c r="F1508" s="4" t="s">
        <v>45</v>
      </c>
      <c r="G1508" s="4" t="s">
        <v>408</v>
      </c>
      <c r="H1508" s="5">
        <f>ROUND(700,0)</f>
        <v>700</v>
      </c>
      <c r="I1508" s="6">
        <f>ROUND(5610,2)</f>
        <v>5610</v>
      </c>
      <c r="J1508" s="6">
        <f>ROUND(8.407077,2)</f>
        <v>8.41</v>
      </c>
      <c r="K1508" s="5">
        <f>ROUND(330145.91,0)</f>
        <v>330146</v>
      </c>
      <c r="L1508" s="7">
        <f>ROUND(0.000114739792711611,4)</f>
        <v>1E-4</v>
      </c>
    </row>
    <row r="1509" spans="1:12">
      <c r="A1509" s="3" t="s">
        <v>3122</v>
      </c>
      <c r="B1509" s="4" t="s">
        <v>3123</v>
      </c>
      <c r="C1509" s="4" t="s">
        <v>566</v>
      </c>
      <c r="D1509" s="4" t="s">
        <v>552</v>
      </c>
      <c r="E1509" s="4" t="s">
        <v>553</v>
      </c>
      <c r="F1509" s="4" t="s">
        <v>26</v>
      </c>
      <c r="G1509" s="4" t="s">
        <v>408</v>
      </c>
      <c r="H1509" s="5">
        <f>ROUND(16000,0)</f>
        <v>16000</v>
      </c>
      <c r="I1509" s="6">
        <f>ROUND(17.8,2)</f>
        <v>17.8</v>
      </c>
      <c r="J1509" s="6">
        <f>ROUND(1.15901246,2)</f>
        <v>1.1599999999999999</v>
      </c>
      <c r="K1509" s="5">
        <f>ROUND(330086.75,0)</f>
        <v>330087</v>
      </c>
      <c r="L1509" s="7">
        <f>ROUND(0.000114719232086956,4)</f>
        <v>1E-4</v>
      </c>
    </row>
    <row r="1510" spans="1:12">
      <c r="A1510" s="3" t="s">
        <v>3124</v>
      </c>
      <c r="B1510" s="4" t="s">
        <v>3125</v>
      </c>
      <c r="C1510" s="4" t="s">
        <v>389</v>
      </c>
      <c r="D1510" s="4" t="s">
        <v>423</v>
      </c>
      <c r="E1510" s="4" t="s">
        <v>25</v>
      </c>
      <c r="F1510" s="4" t="s">
        <v>16</v>
      </c>
      <c r="G1510" s="4" t="s">
        <v>408</v>
      </c>
      <c r="H1510" s="5">
        <f>ROUND(720,0)</f>
        <v>720</v>
      </c>
      <c r="I1510" s="6">
        <f>ROUND(50.15,2)</f>
        <v>50.15</v>
      </c>
      <c r="J1510" s="6">
        <f>ROUND(9.11185723,2)</f>
        <v>9.11</v>
      </c>
      <c r="K1510" s="5">
        <f>ROUND(329010.94,0)</f>
        <v>329011</v>
      </c>
      <c r="L1510" s="7">
        <f>ROUND(0.000114345342201732,4)</f>
        <v>1E-4</v>
      </c>
    </row>
    <row r="1511" spans="1:12">
      <c r="A1511" s="3" t="s">
        <v>3126</v>
      </c>
      <c r="B1511" s="4" t="s">
        <v>3127</v>
      </c>
      <c r="C1511" s="4" t="s">
        <v>422</v>
      </c>
      <c r="D1511" s="4" t="s">
        <v>456</v>
      </c>
      <c r="E1511" s="4" t="s">
        <v>457</v>
      </c>
      <c r="F1511" s="4" t="s">
        <v>26</v>
      </c>
      <c r="G1511" s="4" t="s">
        <v>408</v>
      </c>
      <c r="H1511" s="5">
        <f>ROUND(5500,0)</f>
        <v>5500</v>
      </c>
      <c r="I1511" s="6">
        <f>ROUND(51.4,2)</f>
        <v>51.4</v>
      </c>
      <c r="J1511" s="6">
        <f>ROUND(1.15901246,2)</f>
        <v>1.1599999999999999</v>
      </c>
      <c r="K1511" s="5">
        <f>ROUND(327652.82,0)</f>
        <v>327653</v>
      </c>
      <c r="L1511" s="7">
        <f>ROUND(0.000113873337543921,4)</f>
        <v>1E-4</v>
      </c>
    </row>
    <row r="1512" spans="1:12">
      <c r="A1512" s="3" t="s">
        <v>3128</v>
      </c>
      <c r="B1512" s="4" t="s">
        <v>3129</v>
      </c>
      <c r="C1512" s="4" t="s">
        <v>400</v>
      </c>
      <c r="D1512" s="4" t="s">
        <v>789</v>
      </c>
      <c r="E1512" s="4" t="s">
        <v>790</v>
      </c>
      <c r="F1512" s="4" t="s">
        <v>791</v>
      </c>
      <c r="G1512" s="4" t="s">
        <v>408</v>
      </c>
      <c r="H1512" s="5">
        <f>ROUND(631,0)</f>
        <v>631</v>
      </c>
      <c r="I1512" s="6">
        <f>ROUND(4046.05,2)</f>
        <v>4046.05</v>
      </c>
      <c r="J1512" s="6">
        <f>ROUND(0.12820804,2)</f>
        <v>0.13</v>
      </c>
      <c r="K1512" s="5">
        <f>ROUND(327322.5,0)</f>
        <v>327323</v>
      </c>
      <c r="L1512" s="7">
        <f>ROUND(0.000113758537247505,4)</f>
        <v>1E-4</v>
      </c>
    </row>
    <row r="1513" spans="1:12">
      <c r="A1513" s="3" t="s">
        <v>3130</v>
      </c>
      <c r="B1513" s="4" t="s">
        <v>3131</v>
      </c>
      <c r="C1513" s="4" t="s">
        <v>406</v>
      </c>
      <c r="D1513" s="4" t="s">
        <v>489</v>
      </c>
      <c r="E1513" s="4" t="s">
        <v>490</v>
      </c>
      <c r="F1513" s="4" t="s">
        <v>45</v>
      </c>
      <c r="G1513" s="4" t="s">
        <v>408</v>
      </c>
      <c r="H1513" s="5">
        <f>ROUND(4000,0)</f>
        <v>4000</v>
      </c>
      <c r="I1513" s="6">
        <f>ROUND(973,2)</f>
        <v>973</v>
      </c>
      <c r="J1513" s="6">
        <f>ROUND(8.407077,2)</f>
        <v>8.41</v>
      </c>
      <c r="K1513" s="5">
        <f>ROUND(327203.44,0)</f>
        <v>327203</v>
      </c>
      <c r="L1513" s="7">
        <f>ROUND(0.000113717158816616,4)</f>
        <v>1E-4</v>
      </c>
    </row>
    <row r="1514" spans="1:12">
      <c r="A1514" s="3" t="s">
        <v>3132</v>
      </c>
      <c r="B1514" s="4" t="s">
        <v>3133</v>
      </c>
      <c r="C1514" s="4" t="s">
        <v>389</v>
      </c>
      <c r="D1514" s="4" t="s">
        <v>489</v>
      </c>
      <c r="E1514" s="4" t="s">
        <v>490</v>
      </c>
      <c r="F1514" s="4" t="s">
        <v>45</v>
      </c>
      <c r="G1514" s="4" t="s">
        <v>408</v>
      </c>
      <c r="H1514" s="5">
        <f>ROUND(800,0)</f>
        <v>800</v>
      </c>
      <c r="I1514" s="6">
        <f>ROUND(4850,2)</f>
        <v>4850</v>
      </c>
      <c r="J1514" s="6">
        <f>ROUND(8.407077,2)</f>
        <v>8.41</v>
      </c>
      <c r="K1514" s="5">
        <f>ROUND(326194.59,0)</f>
        <v>326195</v>
      </c>
      <c r="L1514" s="7">
        <f>ROUND(0.000113366540388912,4)</f>
        <v>1E-4</v>
      </c>
    </row>
    <row r="1515" spans="1:12">
      <c r="A1515" s="3" t="s">
        <v>3134</v>
      </c>
      <c r="B1515" s="4" t="s">
        <v>3135</v>
      </c>
      <c r="C1515" s="4" t="s">
        <v>534</v>
      </c>
      <c r="D1515" s="4" t="s">
        <v>1217</v>
      </c>
      <c r="E1515" s="4" t="s">
        <v>1218</v>
      </c>
      <c r="F1515" s="4" t="s">
        <v>21</v>
      </c>
      <c r="G1515" s="4" t="s">
        <v>408</v>
      </c>
      <c r="H1515" s="5">
        <f>ROUND(1200,0)</f>
        <v>1200</v>
      </c>
      <c r="I1515" s="6">
        <f>ROUND(29.88,2)</f>
        <v>29.88</v>
      </c>
      <c r="J1515" s="6">
        <f>ROUND(9.08595,2)</f>
        <v>9.09</v>
      </c>
      <c r="K1515" s="5">
        <f>ROUND(325785.82,0)</f>
        <v>325786</v>
      </c>
      <c r="L1515" s="7">
        <f>ROUND(0.00011322447536964,4)</f>
        <v>1E-4</v>
      </c>
    </row>
    <row r="1516" spans="1:12">
      <c r="A1516" s="3" t="s">
        <v>3136</v>
      </c>
      <c r="B1516" s="4" t="s">
        <v>3137</v>
      </c>
      <c r="C1516" s="4" t="s">
        <v>422</v>
      </c>
      <c r="D1516" s="4" t="s">
        <v>1333</v>
      </c>
      <c r="E1516" s="4" t="s">
        <v>3</v>
      </c>
      <c r="F1516" s="4" t="s">
        <v>1334</v>
      </c>
      <c r="G1516" s="4" t="s">
        <v>408</v>
      </c>
      <c r="H1516" s="5">
        <f>ROUND(95000,0)</f>
        <v>95000</v>
      </c>
      <c r="I1516" s="6">
        <f>ROUND(5350,2)</f>
        <v>5350</v>
      </c>
      <c r="J1516" s="6">
        <f>ROUND(6.4008,2)</f>
        <v>6.4</v>
      </c>
      <c r="K1516" s="5">
        <f>ROUND(325320.66,0)</f>
        <v>325321</v>
      </c>
      <c r="L1516" s="7">
        <f>ROUND(0.000113062812418923,4)</f>
        <v>1E-4</v>
      </c>
    </row>
    <row r="1517" spans="1:12">
      <c r="A1517" s="3" t="s">
        <v>3138</v>
      </c>
      <c r="B1517" s="4" t="s">
        <v>3139</v>
      </c>
      <c r="C1517" s="4" t="s">
        <v>400</v>
      </c>
      <c r="D1517" s="4" t="s">
        <v>1217</v>
      </c>
      <c r="E1517" s="4" t="s">
        <v>1218</v>
      </c>
      <c r="F1517" s="4" t="s">
        <v>21</v>
      </c>
      <c r="G1517" s="4" t="s">
        <v>408</v>
      </c>
      <c r="H1517" s="5">
        <f>ROUND(2100,0)</f>
        <v>2100</v>
      </c>
      <c r="I1517" s="6">
        <f>ROUND(16.94,2)</f>
        <v>16.940000000000001</v>
      </c>
      <c r="J1517" s="6">
        <f>ROUND(9.08595,2)</f>
        <v>9.09</v>
      </c>
      <c r="K1517" s="5">
        <f>ROUND(323223.59,0)</f>
        <v>323224</v>
      </c>
      <c r="L1517" s="7">
        <f>ROUND(0.000112333991101397,4)</f>
        <v>1E-4</v>
      </c>
    </row>
    <row r="1518" spans="1:12">
      <c r="A1518" s="3" t="s">
        <v>3140</v>
      </c>
      <c r="B1518" s="4" t="s">
        <v>3141</v>
      </c>
      <c r="C1518" s="4" t="s">
        <v>422</v>
      </c>
      <c r="D1518" s="4" t="s">
        <v>407</v>
      </c>
      <c r="E1518" s="4" t="s">
        <v>35</v>
      </c>
      <c r="F1518" s="4" t="s">
        <v>21</v>
      </c>
      <c r="G1518" s="4" t="s">
        <v>408</v>
      </c>
      <c r="H1518" s="5">
        <f>ROUND(1300,0)</f>
        <v>1300</v>
      </c>
      <c r="I1518" s="6">
        <f>ROUND(27.32,2)</f>
        <v>27.32</v>
      </c>
      <c r="J1518" s="6">
        <f>ROUND(9.08595,2)</f>
        <v>9.09</v>
      </c>
      <c r="K1518" s="5">
        <f>ROUND(322696.6,0)</f>
        <v>322697</v>
      </c>
      <c r="L1518" s="7">
        <f>ROUND(0.000112150839587083,4)</f>
        <v>1E-4</v>
      </c>
    </row>
    <row r="1519" spans="1:12">
      <c r="A1519" s="3" t="s">
        <v>3142</v>
      </c>
      <c r="B1519" s="4" t="s">
        <v>3143</v>
      </c>
      <c r="C1519" s="4" t="s">
        <v>400</v>
      </c>
      <c r="D1519" s="4" t="s">
        <v>1822</v>
      </c>
      <c r="E1519" s="4" t="s">
        <v>1823</v>
      </c>
      <c r="F1519" s="4" t="s">
        <v>1824</v>
      </c>
      <c r="G1519" s="4" t="s">
        <v>408</v>
      </c>
      <c r="H1519" s="5">
        <f>ROUND(3735,0)</f>
        <v>3735</v>
      </c>
      <c r="I1519" s="6">
        <f>ROUND(33000,2)</f>
        <v>33000</v>
      </c>
      <c r="J1519" s="6">
        <f>ROUND(0.00261206,2)</f>
        <v>0</v>
      </c>
      <c r="K1519" s="5">
        <f>ROUND(321949.46,0)</f>
        <v>321949</v>
      </c>
      <c r="L1519" s="7">
        <f>ROUND(0.000111891176552861,4)</f>
        <v>1E-4</v>
      </c>
    </row>
    <row r="1520" spans="1:12">
      <c r="A1520" s="3" t="s">
        <v>3144</v>
      </c>
      <c r="B1520" s="4" t="s">
        <v>3145</v>
      </c>
      <c r="C1520" s="4" t="s">
        <v>406</v>
      </c>
      <c r="D1520" s="4" t="s">
        <v>486</v>
      </c>
      <c r="E1520" s="4" t="s">
        <v>30</v>
      </c>
      <c r="F1520" s="4" t="s">
        <v>20</v>
      </c>
      <c r="G1520" s="4" t="s">
        <v>408</v>
      </c>
      <c r="H1520" s="5">
        <f>ROUND(2527,0)</f>
        <v>2527</v>
      </c>
      <c r="I1520" s="6">
        <f>ROUND(1136.8,2)</f>
        <v>1136.8</v>
      </c>
      <c r="J1520" s="6">
        <f>ROUND(11.19645077,2)</f>
        <v>11.2</v>
      </c>
      <c r="K1520" s="5">
        <f>ROUND(321639.77,0)</f>
        <v>321640</v>
      </c>
      <c r="L1520" s="7">
        <f>ROUND(0.000111783546061831,4)</f>
        <v>1E-4</v>
      </c>
    </row>
    <row r="1521" spans="1:12">
      <c r="A1521" s="3" t="s">
        <v>3146</v>
      </c>
      <c r="B1521" s="4" t="s">
        <v>3147</v>
      </c>
      <c r="C1521" s="4" t="s">
        <v>534</v>
      </c>
      <c r="D1521" s="4" t="s">
        <v>486</v>
      </c>
      <c r="E1521" s="4" t="s">
        <v>30</v>
      </c>
      <c r="F1521" s="4" t="s">
        <v>20</v>
      </c>
      <c r="G1521" s="4" t="s">
        <v>408</v>
      </c>
      <c r="H1521" s="5">
        <f>ROUND(524,0)</f>
        <v>524</v>
      </c>
      <c r="I1521" s="6">
        <f>ROUND(5478,2)</f>
        <v>5478</v>
      </c>
      <c r="J1521" s="6">
        <f>ROUND(11.19645077,2)</f>
        <v>11.2</v>
      </c>
      <c r="K1521" s="5">
        <f>ROUND(321390.98,0)</f>
        <v>321391</v>
      </c>
      <c r="L1521" s="7">
        <f>ROUND(0.000111697080919711,4)</f>
        <v>1E-4</v>
      </c>
    </row>
    <row r="1522" spans="1:12">
      <c r="A1522" s="3" t="s">
        <v>3148</v>
      </c>
      <c r="B1522" s="4" t="s">
        <v>3149</v>
      </c>
      <c r="C1522" s="4" t="s">
        <v>406</v>
      </c>
      <c r="D1522" s="4" t="s">
        <v>489</v>
      </c>
      <c r="E1522" s="4" t="s">
        <v>490</v>
      </c>
      <c r="F1522" s="4" t="s">
        <v>45</v>
      </c>
      <c r="G1522" s="4" t="s">
        <v>408</v>
      </c>
      <c r="H1522" s="5">
        <f>ROUND(800,0)</f>
        <v>800</v>
      </c>
      <c r="I1522" s="6">
        <f>ROUND(4775,2)</f>
        <v>4775</v>
      </c>
      <c r="J1522" s="6">
        <f>ROUND(8.407077,2)</f>
        <v>8.41</v>
      </c>
      <c r="K1522" s="5">
        <f>ROUND(321150.34,0)</f>
        <v>321150</v>
      </c>
      <c r="L1522" s="7">
        <f>ROUND(0.000111613448250392,4)</f>
        <v>1E-4</v>
      </c>
    </row>
    <row r="1523" spans="1:12">
      <c r="A1523" s="3" t="s">
        <v>3150</v>
      </c>
      <c r="B1523" s="4" t="s">
        <v>3151</v>
      </c>
      <c r="C1523" s="4" t="s">
        <v>389</v>
      </c>
      <c r="D1523" s="4" t="s">
        <v>407</v>
      </c>
      <c r="E1523" s="4" t="s">
        <v>35</v>
      </c>
      <c r="F1523" s="4" t="s">
        <v>21</v>
      </c>
      <c r="G1523" s="4" t="s">
        <v>408</v>
      </c>
      <c r="H1523" s="5">
        <f>ROUND(2034,0)</f>
        <v>2034</v>
      </c>
      <c r="I1523" s="6">
        <f>ROUND(17.36,2)</f>
        <v>17.36</v>
      </c>
      <c r="J1523" s="6">
        <f>ROUND(9.08595,2)</f>
        <v>9.09</v>
      </c>
      <c r="K1523" s="5">
        <f>ROUND(320827.08,0)</f>
        <v>320827</v>
      </c>
      <c r="L1523" s="7">
        <f>ROUND(0.000111501101605261,4)</f>
        <v>1E-4</v>
      </c>
    </row>
    <row r="1524" spans="1:12">
      <c r="A1524" s="3" t="s">
        <v>3152</v>
      </c>
      <c r="B1524" s="4" t="s">
        <v>3153</v>
      </c>
      <c r="C1524" s="4" t="s">
        <v>534</v>
      </c>
      <c r="D1524" s="4" t="s">
        <v>541</v>
      </c>
      <c r="E1524" s="4" t="s">
        <v>542</v>
      </c>
      <c r="F1524" s="4" t="s">
        <v>18</v>
      </c>
      <c r="G1524" s="4" t="s">
        <v>408</v>
      </c>
      <c r="H1524" s="5">
        <f>ROUND(2220,0)</f>
        <v>2220</v>
      </c>
      <c r="I1524" s="6">
        <f>ROUND(14.58,2)</f>
        <v>14.58</v>
      </c>
      <c r="J1524" s="6">
        <f>ROUND(9.9055,2)</f>
        <v>9.91</v>
      </c>
      <c r="K1524" s="5">
        <f>ROUND(320617.26,0)</f>
        <v>320617</v>
      </c>
      <c r="L1524" s="7">
        <f>ROUND(0.000111428180201187,4)</f>
        <v>1E-4</v>
      </c>
    </row>
    <row r="1525" spans="1:12">
      <c r="A1525" s="3" t="s">
        <v>3154</v>
      </c>
      <c r="B1525" s="4" t="s">
        <v>3155</v>
      </c>
      <c r="C1525" s="4" t="s">
        <v>534</v>
      </c>
      <c r="D1525" s="4" t="s">
        <v>407</v>
      </c>
      <c r="E1525" s="4" t="s">
        <v>35</v>
      </c>
      <c r="F1525" s="4" t="s">
        <v>21</v>
      </c>
      <c r="G1525" s="4" t="s">
        <v>408</v>
      </c>
      <c r="H1525" s="5">
        <f>ROUND(900,0)</f>
        <v>900</v>
      </c>
      <c r="I1525" s="6">
        <f>ROUND(39.175,2)</f>
        <v>39.18</v>
      </c>
      <c r="J1525" s="6">
        <f>ROUND(9.08595,2)</f>
        <v>9.09</v>
      </c>
      <c r="K1525" s="5">
        <f>ROUND(320347.88,0)</f>
        <v>320348</v>
      </c>
      <c r="L1525" s="7">
        <f>ROUND(0.000111334559155387,4)</f>
        <v>1E-4</v>
      </c>
    </row>
    <row r="1526" spans="1:12">
      <c r="A1526" s="3" t="s">
        <v>3156</v>
      </c>
      <c r="B1526" s="4" t="s">
        <v>3157</v>
      </c>
      <c r="C1526" s="4" t="s">
        <v>566</v>
      </c>
      <c r="D1526" s="4" t="s">
        <v>1221</v>
      </c>
      <c r="E1526" s="4" t="s">
        <v>1222</v>
      </c>
      <c r="F1526" s="4" t="s">
        <v>1223</v>
      </c>
      <c r="G1526" s="4" t="s">
        <v>408</v>
      </c>
      <c r="H1526" s="5">
        <f>ROUND(15600,0)</f>
        <v>15600</v>
      </c>
      <c r="I1526" s="6">
        <f>ROUND(3.12,2)</f>
        <v>3.12</v>
      </c>
      <c r="J1526" s="6">
        <f>ROUND(6.57015886,2)</f>
        <v>6.57</v>
      </c>
      <c r="K1526" s="5">
        <f>ROUND(319782.77,0)</f>
        <v>319783</v>
      </c>
      <c r="L1526" s="7">
        <f>ROUND(0.000111138159314301,4)</f>
        <v>1E-4</v>
      </c>
    </row>
    <row r="1527" spans="1:12">
      <c r="A1527" s="3" t="s">
        <v>3158</v>
      </c>
      <c r="B1527" s="4" t="s">
        <v>3159</v>
      </c>
      <c r="C1527" s="4" t="s">
        <v>400</v>
      </c>
      <c r="D1527" s="4" t="s">
        <v>407</v>
      </c>
      <c r="E1527" s="4" t="s">
        <v>35</v>
      </c>
      <c r="F1527" s="4" t="s">
        <v>21</v>
      </c>
      <c r="G1527" s="4" t="s">
        <v>408</v>
      </c>
      <c r="H1527" s="5">
        <f>ROUND(2800,0)</f>
        <v>2800</v>
      </c>
      <c r="I1527" s="6">
        <f>ROUND(12.55,2)</f>
        <v>12.55</v>
      </c>
      <c r="J1527" s="6">
        <f>ROUND(9.08595,2)</f>
        <v>9.09</v>
      </c>
      <c r="K1527" s="5">
        <f>ROUND(319280.28,0)</f>
        <v>319280</v>
      </c>
      <c r="L1527" s="7">
        <f>ROUND(0.000110963522595525,4)</f>
        <v>1E-4</v>
      </c>
    </row>
    <row r="1528" spans="1:12">
      <c r="A1528" s="3" t="s">
        <v>3160</v>
      </c>
      <c r="B1528" s="4" t="s">
        <v>3161</v>
      </c>
      <c r="C1528" s="4" t="s">
        <v>415</v>
      </c>
      <c r="D1528" s="4" t="s">
        <v>456</v>
      </c>
      <c r="E1528" s="4" t="s">
        <v>457</v>
      </c>
      <c r="F1528" s="4" t="s">
        <v>21</v>
      </c>
      <c r="G1528" s="4" t="s">
        <v>408</v>
      </c>
      <c r="H1528" s="5">
        <f>ROUND(1132,0)</f>
        <v>1132</v>
      </c>
      <c r="I1528" s="6">
        <f>ROUND(30.98,2)</f>
        <v>30.98</v>
      </c>
      <c r="J1528" s="6">
        <f>ROUND(9.08595,2)</f>
        <v>9.09</v>
      </c>
      <c r="K1528" s="5">
        <f>ROUND(318638.45,0)</f>
        <v>318638</v>
      </c>
      <c r="L1528" s="7">
        <f>ROUND(0.00011074045928041,4)</f>
        <v>1E-4</v>
      </c>
    </row>
    <row r="1529" spans="1:12">
      <c r="A1529" s="3" t="s">
        <v>3162</v>
      </c>
      <c r="B1529" s="4" t="s">
        <v>3163</v>
      </c>
      <c r="C1529" s="4" t="s">
        <v>415</v>
      </c>
      <c r="D1529" s="4" t="s">
        <v>489</v>
      </c>
      <c r="E1529" s="4" t="s">
        <v>490</v>
      </c>
      <c r="F1529" s="4" t="s">
        <v>45</v>
      </c>
      <c r="G1529" s="4" t="s">
        <v>408</v>
      </c>
      <c r="H1529" s="5">
        <f>ROUND(800,0)</f>
        <v>800</v>
      </c>
      <c r="I1529" s="6">
        <f>ROUND(4735,2)</f>
        <v>4735</v>
      </c>
      <c r="J1529" s="6">
        <f>ROUND(8.407077,2)</f>
        <v>8.41</v>
      </c>
      <c r="K1529" s="5">
        <f>ROUND(318460.08,0)</f>
        <v>318460</v>
      </c>
      <c r="L1529" s="7">
        <f>ROUND(0.000110678468093465,4)</f>
        <v>1E-4</v>
      </c>
    </row>
    <row r="1530" spans="1:12">
      <c r="A1530" s="3" t="s">
        <v>3164</v>
      </c>
      <c r="B1530" s="4" t="s">
        <v>3165</v>
      </c>
      <c r="C1530" s="4" t="s">
        <v>534</v>
      </c>
      <c r="D1530" s="4" t="s">
        <v>486</v>
      </c>
      <c r="E1530" s="4" t="s">
        <v>30</v>
      </c>
      <c r="F1530" s="4" t="s">
        <v>21</v>
      </c>
      <c r="G1530" s="4" t="s">
        <v>408</v>
      </c>
      <c r="H1530" s="5">
        <f>ROUND(700,0)</f>
        <v>700</v>
      </c>
      <c r="I1530" s="6">
        <f>ROUND(50.06,2)</f>
        <v>50.06</v>
      </c>
      <c r="J1530" s="6">
        <f>ROUND(9.08595,2)</f>
        <v>9.09</v>
      </c>
      <c r="K1530" s="5">
        <f>ROUND(318389.86,0)</f>
        <v>318390</v>
      </c>
      <c r="L1530" s="7">
        <f>ROUND(0.000110654063646825,4)</f>
        <v>1E-4</v>
      </c>
    </row>
    <row r="1531" spans="1:12">
      <c r="A1531" s="3" t="s">
        <v>3166</v>
      </c>
      <c r="B1531" s="4" t="s">
        <v>3167</v>
      </c>
      <c r="C1531" s="4" t="s">
        <v>389</v>
      </c>
      <c r="D1531" s="4" t="s">
        <v>395</v>
      </c>
      <c r="E1531" s="4" t="s">
        <v>396</v>
      </c>
      <c r="F1531" s="4" t="s">
        <v>397</v>
      </c>
      <c r="G1531" s="4" t="s">
        <v>408</v>
      </c>
      <c r="H1531" s="5">
        <f>ROUND(2869,0)</f>
        <v>2869</v>
      </c>
      <c r="I1531" s="6">
        <f>ROUND(50.47,2)</f>
        <v>50.47</v>
      </c>
      <c r="J1531" s="6">
        <f>ROUND(2.18129969,2)</f>
        <v>2.1800000000000002</v>
      </c>
      <c r="K1531" s="5">
        <f>ROUND(315848.77,0)</f>
        <v>315849</v>
      </c>
      <c r="L1531" s="7">
        <f>ROUND(0.000109770926430733,4)</f>
        <v>1E-4</v>
      </c>
    </row>
    <row r="1532" spans="1:12">
      <c r="A1532" s="3" t="s">
        <v>3168</v>
      </c>
      <c r="B1532" s="4" t="s">
        <v>3169</v>
      </c>
      <c r="C1532" s="4" t="s">
        <v>566</v>
      </c>
      <c r="D1532" s="4" t="s">
        <v>407</v>
      </c>
      <c r="E1532" s="4" t="s">
        <v>35</v>
      </c>
      <c r="F1532" s="4" t="s">
        <v>21</v>
      </c>
      <c r="G1532" s="4" t="s">
        <v>408</v>
      </c>
      <c r="H1532" s="5">
        <f>ROUND(500,0)</f>
        <v>500</v>
      </c>
      <c r="I1532" s="6">
        <f>ROUND(69.49,2)</f>
        <v>69.489999999999995</v>
      </c>
      <c r="J1532" s="6">
        <f>ROUND(9.08595,2)</f>
        <v>9.09</v>
      </c>
      <c r="K1532" s="5">
        <f>ROUND(315691.33,0)</f>
        <v>315691</v>
      </c>
      <c r="L1532" s="7">
        <f>ROUND(0.000109716209311976,4)</f>
        <v>1E-4</v>
      </c>
    </row>
    <row r="1533" spans="1:12">
      <c r="A1533" s="3" t="s">
        <v>3170</v>
      </c>
      <c r="B1533" s="4" t="s">
        <v>3171</v>
      </c>
      <c r="C1533" s="4" t="s">
        <v>545</v>
      </c>
      <c r="D1533" s="4" t="s">
        <v>489</v>
      </c>
      <c r="E1533" s="4" t="s">
        <v>490</v>
      </c>
      <c r="F1533" s="4" t="s">
        <v>45</v>
      </c>
      <c r="G1533" s="4" t="s">
        <v>408</v>
      </c>
      <c r="H1533" s="5">
        <f>ROUND(1800,0)</f>
        <v>1800</v>
      </c>
      <c r="I1533" s="6">
        <f>ROUND(2076,2)</f>
        <v>2076</v>
      </c>
      <c r="J1533" s="6">
        <f>ROUND(8.407077,2)</f>
        <v>8.41</v>
      </c>
      <c r="K1533" s="5">
        <f>ROUND(314155.65,0)</f>
        <v>314156</v>
      </c>
      <c r="L1533" s="7">
        <f>ROUND(0.000109182494976786,4)</f>
        <v>1E-4</v>
      </c>
    </row>
    <row r="1534" spans="1:12">
      <c r="A1534" s="3" t="s">
        <v>3172</v>
      </c>
      <c r="B1534" s="4" t="s">
        <v>3173</v>
      </c>
      <c r="C1534" s="4" t="s">
        <v>545</v>
      </c>
      <c r="D1534" s="4" t="s">
        <v>514</v>
      </c>
      <c r="E1534" s="4" t="s">
        <v>515</v>
      </c>
      <c r="F1534" s="4" t="s">
        <v>190</v>
      </c>
      <c r="G1534" s="4" t="s">
        <v>408</v>
      </c>
      <c r="H1534" s="5">
        <f>ROUND(7500,0)</f>
        <v>7500</v>
      </c>
      <c r="I1534" s="6">
        <f>ROUND(6.1,2)</f>
        <v>6.1</v>
      </c>
      <c r="J1534" s="6">
        <f>ROUND(6.86237833,2)</f>
        <v>6.86</v>
      </c>
      <c r="K1534" s="5">
        <f>ROUND(313953.81,0)</f>
        <v>313954</v>
      </c>
      <c r="L1534" s="7">
        <f>ROUND(0.000109112346963258,4)</f>
        <v>1E-4</v>
      </c>
    </row>
    <row r="1535" spans="1:12">
      <c r="A1535" s="3" t="s">
        <v>3174</v>
      </c>
      <c r="B1535" s="4" t="s">
        <v>3175</v>
      </c>
      <c r="C1535" s="4" t="s">
        <v>389</v>
      </c>
      <c r="D1535" s="4" t="s">
        <v>489</v>
      </c>
      <c r="E1535" s="4" t="s">
        <v>490</v>
      </c>
      <c r="F1535" s="4" t="s">
        <v>45</v>
      </c>
      <c r="G1535" s="4" t="s">
        <v>408</v>
      </c>
      <c r="H1535" s="5">
        <f>ROUND(1800,0)</f>
        <v>1800</v>
      </c>
      <c r="I1535" s="6">
        <f>ROUND(2058,2)</f>
        <v>2058</v>
      </c>
      <c r="J1535" s="6">
        <f>ROUND(8.407077,2)</f>
        <v>8.41</v>
      </c>
      <c r="K1535" s="5">
        <f>ROUND(311431.76,0)</f>
        <v>311432</v>
      </c>
      <c r="L1535" s="7">
        <f>ROUND(0.000108235826959699,4)</f>
        <v>1E-4</v>
      </c>
    </row>
    <row r="1536" spans="1:12">
      <c r="A1536" s="3" t="s">
        <v>3176</v>
      </c>
      <c r="B1536" s="4" t="s">
        <v>3177</v>
      </c>
      <c r="C1536" s="4" t="s">
        <v>445</v>
      </c>
      <c r="D1536" s="4" t="s">
        <v>390</v>
      </c>
      <c r="E1536" s="4" t="s">
        <v>391</v>
      </c>
      <c r="F1536" s="4" t="s">
        <v>72</v>
      </c>
      <c r="G1536" s="4" t="s">
        <v>408</v>
      </c>
      <c r="H1536" s="5">
        <f>ROUND(244,0)</f>
        <v>244</v>
      </c>
      <c r="I1536" s="6">
        <f>ROUND(208.15,2)</f>
        <v>208.15</v>
      </c>
      <c r="J1536" s="6">
        <f>ROUND(6.12812423,2)</f>
        <v>6.13</v>
      </c>
      <c r="K1536" s="5">
        <f>ROUND(311238.85,0)</f>
        <v>311239</v>
      </c>
      <c r="L1536" s="7">
        <f>ROUND(0.000108168782502258,4)</f>
        <v>1E-4</v>
      </c>
    </row>
    <row r="1537" spans="1:12">
      <c r="A1537" s="3" t="s">
        <v>3178</v>
      </c>
      <c r="B1537" s="4" t="s">
        <v>3179</v>
      </c>
      <c r="C1537" s="4" t="s">
        <v>406</v>
      </c>
      <c r="D1537" s="4" t="s">
        <v>489</v>
      </c>
      <c r="E1537" s="4" t="s">
        <v>490</v>
      </c>
      <c r="F1537" s="4" t="s">
        <v>45</v>
      </c>
      <c r="G1537" s="4" t="s">
        <v>408</v>
      </c>
      <c r="H1537" s="5">
        <f>ROUND(300,0)</f>
        <v>300</v>
      </c>
      <c r="I1537" s="6">
        <f>ROUND(12320,2)</f>
        <v>12320</v>
      </c>
      <c r="J1537" s="6">
        <f>ROUND(8.407077,2)</f>
        <v>8.41</v>
      </c>
      <c r="K1537" s="5">
        <f>ROUND(310725.57,0)</f>
        <v>310726</v>
      </c>
      <c r="L1537" s="7">
        <f>ROUND(0.000107990395798019,4)</f>
        <v>1E-4</v>
      </c>
    </row>
    <row r="1538" spans="1:12">
      <c r="A1538" s="3" t="s">
        <v>3180</v>
      </c>
      <c r="B1538" s="4" t="s">
        <v>3181</v>
      </c>
      <c r="C1538" s="4" t="s">
        <v>389</v>
      </c>
      <c r="D1538" s="4" t="s">
        <v>486</v>
      </c>
      <c r="E1538" s="4" t="s">
        <v>30</v>
      </c>
      <c r="F1538" s="4" t="s">
        <v>20</v>
      </c>
      <c r="G1538" s="4" t="s">
        <v>408</v>
      </c>
      <c r="H1538" s="5">
        <f>ROUND(663,0)</f>
        <v>663</v>
      </c>
      <c r="I1538" s="6">
        <f>ROUND(4179,2)</f>
        <v>4179</v>
      </c>
      <c r="J1538" s="6">
        <f>ROUND(11.19645077,2)</f>
        <v>11.2</v>
      </c>
      <c r="K1538" s="5">
        <f>ROUND(310217.49,0)</f>
        <v>310217</v>
      </c>
      <c r="L1538" s="7">
        <f>ROUND(0.00010781381631569,4)</f>
        <v>1E-4</v>
      </c>
    </row>
    <row r="1539" spans="1:12">
      <c r="A1539" s="3" t="s">
        <v>3182</v>
      </c>
      <c r="B1539" s="4" t="s">
        <v>3183</v>
      </c>
      <c r="C1539" s="4" t="s">
        <v>422</v>
      </c>
      <c r="D1539" s="4" t="s">
        <v>739</v>
      </c>
      <c r="E1539" s="4" t="s">
        <v>740</v>
      </c>
      <c r="F1539" s="4" t="s">
        <v>741</v>
      </c>
      <c r="G1539" s="4" t="s">
        <v>408</v>
      </c>
      <c r="H1539" s="5">
        <f>ROUND(174,0)</f>
        <v>174</v>
      </c>
      <c r="I1539" s="6">
        <f>ROUND(234500,2)</f>
        <v>234500</v>
      </c>
      <c r="J1539" s="6">
        <f>ROUND(0.00759599,2)</f>
        <v>0.01</v>
      </c>
      <c r="K1539" s="5">
        <f>ROUND(309939.18,0)</f>
        <v>309939</v>
      </c>
      <c r="L1539" s="7">
        <f>ROUND(0.000107717091713802,4)</f>
        <v>1E-4</v>
      </c>
    </row>
    <row r="1540" spans="1:12">
      <c r="A1540" s="3" t="s">
        <v>3184</v>
      </c>
      <c r="B1540" s="4" t="s">
        <v>3185</v>
      </c>
      <c r="C1540" s="4" t="s">
        <v>566</v>
      </c>
      <c r="D1540" s="4" t="s">
        <v>407</v>
      </c>
      <c r="E1540" s="4" t="s">
        <v>35</v>
      </c>
      <c r="F1540" s="4" t="s">
        <v>21</v>
      </c>
      <c r="G1540" s="4" t="s">
        <v>408</v>
      </c>
      <c r="H1540" s="5">
        <f>ROUND(1000,0)</f>
        <v>1000</v>
      </c>
      <c r="I1540" s="6">
        <f>ROUND(33.97,2)</f>
        <v>33.97</v>
      </c>
      <c r="J1540" s="6">
        <f>ROUND(9.08595,2)</f>
        <v>9.09</v>
      </c>
      <c r="K1540" s="5">
        <f>ROUND(308649.72,0)</f>
        <v>308650</v>
      </c>
      <c r="L1540" s="7">
        <f>ROUND(0.000107268949336058,4)</f>
        <v>1E-4</v>
      </c>
    </row>
    <row r="1541" spans="1:12">
      <c r="A1541" s="3" t="s">
        <v>3186</v>
      </c>
      <c r="B1541" s="4" t="s">
        <v>3187</v>
      </c>
      <c r="C1541" s="4" t="s">
        <v>400</v>
      </c>
      <c r="D1541" s="4" t="s">
        <v>489</v>
      </c>
      <c r="E1541" s="4" t="s">
        <v>490</v>
      </c>
      <c r="F1541" s="4" t="s">
        <v>45</v>
      </c>
      <c r="G1541" s="4" t="s">
        <v>408</v>
      </c>
      <c r="H1541" s="5">
        <f>ROUND(7900,0)</f>
        <v>7900</v>
      </c>
      <c r="I1541" s="6">
        <f>ROUND(463,2)</f>
        <v>463</v>
      </c>
      <c r="J1541" s="6">
        <f>ROUND(8.407077,2)</f>
        <v>8.41</v>
      </c>
      <c r="K1541" s="5">
        <f>ROUND(307505.66,0)</f>
        <v>307506</v>
      </c>
      <c r="L1541" s="7">
        <f>ROUND(0.000106871339663263,4)</f>
        <v>1E-4</v>
      </c>
    </row>
    <row r="1542" spans="1:12">
      <c r="A1542" s="3" t="s">
        <v>3188</v>
      </c>
      <c r="B1542" s="4" t="s">
        <v>3189</v>
      </c>
      <c r="C1542" s="4" t="s">
        <v>534</v>
      </c>
      <c r="D1542" s="4" t="s">
        <v>520</v>
      </c>
      <c r="E1542" s="4" t="s">
        <v>521</v>
      </c>
      <c r="F1542" s="4" t="s">
        <v>18</v>
      </c>
      <c r="G1542" s="4" t="s">
        <v>408</v>
      </c>
      <c r="H1542" s="5">
        <f>ROUND(326,0)</f>
        <v>326</v>
      </c>
      <c r="I1542" s="6">
        <f>ROUND(95.12,2)</f>
        <v>95.12</v>
      </c>
      <c r="J1542" s="6">
        <f>ROUND(9.9055,2)</f>
        <v>9.91</v>
      </c>
      <c r="K1542" s="5">
        <f>ROUND(307160.84,0)</f>
        <v>307161</v>
      </c>
      <c r="L1542" s="7">
        <f>ROUND(0.000106751499998059,4)</f>
        <v>1E-4</v>
      </c>
    </row>
    <row r="1543" spans="1:12">
      <c r="A1543" s="3" t="s">
        <v>3190</v>
      </c>
      <c r="B1543" s="4" t="s">
        <v>3191</v>
      </c>
      <c r="C1543" s="4" t="s">
        <v>422</v>
      </c>
      <c r="D1543" s="4" t="s">
        <v>489</v>
      </c>
      <c r="E1543" s="4" t="s">
        <v>490</v>
      </c>
      <c r="F1543" s="4" t="s">
        <v>45</v>
      </c>
      <c r="G1543" s="4" t="s">
        <v>408</v>
      </c>
      <c r="H1543" s="5">
        <f>ROUND(200,0)</f>
        <v>200</v>
      </c>
      <c r="I1543" s="6">
        <f>ROUND(18250,2)</f>
        <v>18250</v>
      </c>
      <c r="J1543" s="6">
        <f>ROUND(8.407077,2)</f>
        <v>8.41</v>
      </c>
      <c r="K1543" s="5">
        <f>ROUND(306858.31,0)</f>
        <v>306858</v>
      </c>
      <c r="L1543" s="7">
        <f>ROUND(0.000106646357912583,4)</f>
        <v>1E-4</v>
      </c>
    </row>
    <row r="1544" spans="1:12">
      <c r="A1544" s="3" t="s">
        <v>2014</v>
      </c>
      <c r="B1544" s="4" t="s">
        <v>3192</v>
      </c>
      <c r="C1544" s="4" t="s">
        <v>566</v>
      </c>
      <c r="D1544" s="4" t="s">
        <v>520</v>
      </c>
      <c r="E1544" s="4" t="s">
        <v>2016</v>
      </c>
      <c r="F1544" s="4" t="s">
        <v>72</v>
      </c>
      <c r="G1544" s="4" t="s">
        <v>408</v>
      </c>
      <c r="H1544" s="5">
        <f>ROUND(4674,0)</f>
        <v>4674</v>
      </c>
      <c r="I1544" s="6">
        <f>ROUND(10.65,2)</f>
        <v>10.65</v>
      </c>
      <c r="J1544" s="6">
        <f>ROUND(6.12812423,2)</f>
        <v>6.13</v>
      </c>
      <c r="K1544" s="5">
        <f>ROUND(305046.38,0)</f>
        <v>305046</v>
      </c>
      <c r="L1544" s="7">
        <f>ROUND(0.000106016634913415,4)</f>
        <v>1E-4</v>
      </c>
    </row>
    <row r="1545" spans="1:12">
      <c r="A1545" s="3" t="s">
        <v>3193</v>
      </c>
      <c r="B1545" s="4" t="s">
        <v>3194</v>
      </c>
      <c r="C1545" s="4" t="s">
        <v>406</v>
      </c>
      <c r="D1545" s="4" t="s">
        <v>407</v>
      </c>
      <c r="E1545" s="4" t="s">
        <v>35</v>
      </c>
      <c r="F1545" s="4" t="s">
        <v>21</v>
      </c>
      <c r="G1545" s="4" t="s">
        <v>408</v>
      </c>
      <c r="H1545" s="5">
        <f>ROUND(647,0)</f>
        <v>647</v>
      </c>
      <c r="I1545" s="6">
        <f>ROUND(51.86,2)</f>
        <v>51.86</v>
      </c>
      <c r="J1545" s="6">
        <f>ROUND(9.08595,2)</f>
        <v>9.09</v>
      </c>
      <c r="K1545" s="5">
        <f>ROUND(304864.7,0)</f>
        <v>304865</v>
      </c>
      <c r="L1545" s="7">
        <f>ROUND(0.000105953493360216,4)</f>
        <v>1E-4</v>
      </c>
    </row>
    <row r="1546" spans="1:12">
      <c r="A1546" s="3" t="s">
        <v>3195</v>
      </c>
      <c r="B1546" s="4" t="s">
        <v>3196</v>
      </c>
      <c r="C1546" s="4" t="s">
        <v>445</v>
      </c>
      <c r="D1546" s="4" t="s">
        <v>489</v>
      </c>
      <c r="E1546" s="4" t="s">
        <v>490</v>
      </c>
      <c r="F1546" s="4" t="s">
        <v>45</v>
      </c>
      <c r="G1546" s="4" t="s">
        <v>408</v>
      </c>
      <c r="H1546" s="5">
        <f>ROUND(1500,0)</f>
        <v>1500</v>
      </c>
      <c r="I1546" s="6">
        <f>ROUND(2413,2)</f>
        <v>2413</v>
      </c>
      <c r="J1546" s="6">
        <f>ROUND(8.407077,2)</f>
        <v>8.41</v>
      </c>
      <c r="K1546" s="5">
        <f>ROUND(304294.15,0)</f>
        <v>304294</v>
      </c>
      <c r="L1546" s="7">
        <f>ROUND(0.000105755202886978,4)</f>
        <v>1E-4</v>
      </c>
    </row>
    <row r="1547" spans="1:12">
      <c r="A1547" s="3" t="s">
        <v>3197</v>
      </c>
      <c r="B1547" s="4" t="s">
        <v>3198</v>
      </c>
      <c r="C1547" s="4" t="s">
        <v>534</v>
      </c>
      <c r="D1547" s="4" t="s">
        <v>541</v>
      </c>
      <c r="E1547" s="4" t="s">
        <v>542</v>
      </c>
      <c r="F1547" s="4" t="s">
        <v>18</v>
      </c>
      <c r="G1547" s="4" t="s">
        <v>408</v>
      </c>
      <c r="H1547" s="5">
        <f>ROUND(1239,0)</f>
        <v>1239</v>
      </c>
      <c r="I1547" s="6">
        <f>ROUND(24.77,2)</f>
        <v>24.77</v>
      </c>
      <c r="J1547" s="6">
        <f>ROUND(9.9055,2)</f>
        <v>9.91</v>
      </c>
      <c r="K1547" s="5">
        <f>ROUND(304000.09,0)</f>
        <v>304000</v>
      </c>
      <c r="L1547" s="7">
        <f>ROUND(0.000105653004487958,4)</f>
        <v>1E-4</v>
      </c>
    </row>
    <row r="1548" spans="1:12">
      <c r="A1548" s="3" t="s">
        <v>3199</v>
      </c>
      <c r="B1548" s="4" t="s">
        <v>3200</v>
      </c>
      <c r="C1548" s="4" t="s">
        <v>389</v>
      </c>
      <c r="D1548" s="4" t="s">
        <v>520</v>
      </c>
      <c r="E1548" s="4" t="s">
        <v>521</v>
      </c>
      <c r="F1548" s="4" t="s">
        <v>18</v>
      </c>
      <c r="G1548" s="4" t="s">
        <v>408</v>
      </c>
      <c r="H1548" s="5">
        <f>ROUND(1031,0)</f>
        <v>1031</v>
      </c>
      <c r="I1548" s="6">
        <f>ROUND(29.75,2)</f>
        <v>29.75</v>
      </c>
      <c r="J1548" s="6">
        <f>ROUND(9.9055,2)</f>
        <v>9.91</v>
      </c>
      <c r="K1548" s="5">
        <f>ROUND(303823.97,0)</f>
        <v>303824</v>
      </c>
      <c r="L1548" s="7">
        <f>ROUND(0.000105591795272032,4)</f>
        <v>1E-4</v>
      </c>
    </row>
    <row r="1549" spans="1:12">
      <c r="A1549" s="3" t="s">
        <v>3201</v>
      </c>
      <c r="B1549" s="4" t="s">
        <v>3202</v>
      </c>
      <c r="C1549" s="4" t="s">
        <v>566</v>
      </c>
      <c r="D1549" s="4" t="s">
        <v>407</v>
      </c>
      <c r="E1549" s="4" t="s">
        <v>35</v>
      </c>
      <c r="F1549" s="4" t="s">
        <v>21</v>
      </c>
      <c r="G1549" s="4" t="s">
        <v>408</v>
      </c>
      <c r="H1549" s="5">
        <f>ROUND(1600,0)</f>
        <v>1600</v>
      </c>
      <c r="I1549" s="6">
        <f>ROUND(20.88,2)</f>
        <v>20.88</v>
      </c>
      <c r="J1549" s="6">
        <f>ROUND(9.08595,2)</f>
        <v>9.09</v>
      </c>
      <c r="K1549" s="5">
        <f>ROUND(303543.42,0)</f>
        <v>303543</v>
      </c>
      <c r="L1549" s="7">
        <f>ROUND(0.000105494292174552,4)</f>
        <v>1E-4</v>
      </c>
    </row>
    <row r="1550" spans="1:12">
      <c r="A1550" s="3" t="s">
        <v>3203</v>
      </c>
      <c r="B1550" s="4" t="s">
        <v>3204</v>
      </c>
      <c r="C1550" s="4" t="s">
        <v>534</v>
      </c>
      <c r="D1550" s="4" t="s">
        <v>723</v>
      </c>
      <c r="E1550" s="4" t="s">
        <v>724</v>
      </c>
      <c r="F1550" s="4" t="s">
        <v>18</v>
      </c>
      <c r="G1550" s="4" t="s">
        <v>408</v>
      </c>
      <c r="H1550" s="5">
        <f>ROUND(5728,0)</f>
        <v>5728</v>
      </c>
      <c r="I1550" s="6">
        <f>ROUND(5.344,2)</f>
        <v>5.34</v>
      </c>
      <c r="J1550" s="6">
        <f>ROUND(9.9055,2)</f>
        <v>9.91</v>
      </c>
      <c r="K1550" s="5">
        <f>ROUND(303211.61,0)</f>
        <v>303212</v>
      </c>
      <c r="L1550" s="7">
        <f>ROUND(0.000105378974039551,4)</f>
        <v>1E-4</v>
      </c>
    </row>
    <row r="1551" spans="1:12">
      <c r="A1551" s="3" t="s">
        <v>3205</v>
      </c>
      <c r="B1551" s="4" t="s">
        <v>3206</v>
      </c>
      <c r="C1551" s="4" t="s">
        <v>430</v>
      </c>
      <c r="D1551" s="4" t="s">
        <v>514</v>
      </c>
      <c r="E1551" s="4" t="s">
        <v>515</v>
      </c>
      <c r="F1551" s="4" t="s">
        <v>190</v>
      </c>
      <c r="G1551" s="4" t="s">
        <v>408</v>
      </c>
      <c r="H1551" s="5">
        <f>ROUND(7800,0)</f>
        <v>7800</v>
      </c>
      <c r="I1551" s="6">
        <f>ROUND(5.66,2)</f>
        <v>5.66</v>
      </c>
      <c r="J1551" s="6">
        <f>ROUND(6.86237833,2)</f>
        <v>6.86</v>
      </c>
      <c r="K1551" s="5">
        <f>ROUND(302960.28,0)</f>
        <v>302960</v>
      </c>
      <c r="L1551" s="7">
        <f>ROUND(0.000105291626139035,4)</f>
        <v>1E-4</v>
      </c>
    </row>
    <row r="1552" spans="1:12">
      <c r="A1552" s="3" t="s">
        <v>3207</v>
      </c>
      <c r="B1552" s="4" t="s">
        <v>3208</v>
      </c>
      <c r="C1552" s="4" t="s">
        <v>534</v>
      </c>
      <c r="D1552" s="4" t="s">
        <v>456</v>
      </c>
      <c r="E1552" s="4" t="s">
        <v>457</v>
      </c>
      <c r="F1552" s="4" t="s">
        <v>26</v>
      </c>
      <c r="G1552" s="4" t="s">
        <v>408</v>
      </c>
      <c r="H1552" s="5">
        <f>ROUND(9000,0)</f>
        <v>9000</v>
      </c>
      <c r="I1552" s="6">
        <f>ROUND(29,2)</f>
        <v>29</v>
      </c>
      <c r="J1552" s="6">
        <f>ROUND(1.15901246,2)</f>
        <v>1.1599999999999999</v>
      </c>
      <c r="K1552" s="5">
        <f>ROUND(302502.25,0)</f>
        <v>302502</v>
      </c>
      <c r="L1552" s="7">
        <f>ROUND(0.000105132441167591,4)</f>
        <v>1E-4</v>
      </c>
    </row>
    <row r="1553" spans="1:12">
      <c r="A1553" s="3" t="s">
        <v>3209</v>
      </c>
      <c r="B1553" s="4" t="s">
        <v>3210</v>
      </c>
      <c r="C1553" s="4" t="s">
        <v>534</v>
      </c>
      <c r="D1553" s="4" t="s">
        <v>407</v>
      </c>
      <c r="E1553" s="4" t="s">
        <v>35</v>
      </c>
      <c r="F1553" s="4" t="s">
        <v>21</v>
      </c>
      <c r="G1553" s="4" t="s">
        <v>408</v>
      </c>
      <c r="H1553" s="5">
        <f>ROUND(300,0)</f>
        <v>300</v>
      </c>
      <c r="I1553" s="6">
        <f>ROUND(110.65,2)</f>
        <v>110.65</v>
      </c>
      <c r="J1553" s="6">
        <f>ROUND(9.08595,2)</f>
        <v>9.09</v>
      </c>
      <c r="K1553" s="5">
        <f>ROUND(301608.11,0)</f>
        <v>301608</v>
      </c>
      <c r="L1553" s="7">
        <f>ROUND(0.00010482168936014,4)</f>
        <v>1E-4</v>
      </c>
    </row>
    <row r="1554" spans="1:12">
      <c r="A1554" s="3" t="s">
        <v>3211</v>
      </c>
      <c r="B1554" s="4" t="s">
        <v>3212</v>
      </c>
      <c r="C1554" s="4" t="s">
        <v>400</v>
      </c>
      <c r="D1554" s="4" t="s">
        <v>407</v>
      </c>
      <c r="E1554" s="4" t="s">
        <v>35</v>
      </c>
      <c r="F1554" s="4" t="s">
        <v>21</v>
      </c>
      <c r="G1554" s="4" t="s">
        <v>408</v>
      </c>
      <c r="H1554" s="5">
        <f>ROUND(400,0)</f>
        <v>400</v>
      </c>
      <c r="I1554" s="6">
        <f>ROUND(82.46,2)</f>
        <v>82.46</v>
      </c>
      <c r="J1554" s="6">
        <f>ROUND(9.08595,2)</f>
        <v>9.09</v>
      </c>
      <c r="K1554" s="5">
        <f>ROUND(299690.97,0)</f>
        <v>299691</v>
      </c>
      <c r="L1554" s="7">
        <f>ROUND(0.000104155401396133,4)</f>
        <v>1E-4</v>
      </c>
    </row>
    <row r="1555" spans="1:12">
      <c r="A1555" s="3" t="s">
        <v>3213</v>
      </c>
      <c r="B1555" s="4" t="s">
        <v>3214</v>
      </c>
      <c r="C1555" s="4" t="s">
        <v>545</v>
      </c>
      <c r="D1555" s="4" t="s">
        <v>623</v>
      </c>
      <c r="E1555" s="4" t="s">
        <v>624</v>
      </c>
      <c r="F1555" s="4" t="s">
        <v>18</v>
      </c>
      <c r="G1555" s="4" t="s">
        <v>408</v>
      </c>
      <c r="H1555" s="5">
        <f>ROUND(870,0)</f>
        <v>870</v>
      </c>
      <c r="I1555" s="6">
        <f>ROUND(34.63,2)</f>
        <v>34.630000000000003</v>
      </c>
      <c r="J1555" s="6">
        <f>ROUND(9.9055,2)</f>
        <v>9.91</v>
      </c>
      <c r="K1555" s="5">
        <f>ROUND(298433.89,0)</f>
        <v>298434</v>
      </c>
      <c r="L1555" s="7">
        <f>ROUND(0.000103718512450206,4)</f>
        <v>1E-4</v>
      </c>
    </row>
    <row r="1556" spans="1:12">
      <c r="A1556" s="3" t="s">
        <v>3215</v>
      </c>
      <c r="B1556" s="4" t="s">
        <v>3216</v>
      </c>
      <c r="C1556" s="4" t="s">
        <v>534</v>
      </c>
      <c r="D1556" s="4" t="s">
        <v>489</v>
      </c>
      <c r="E1556" s="4" t="s">
        <v>490</v>
      </c>
      <c r="F1556" s="4" t="s">
        <v>45</v>
      </c>
      <c r="G1556" s="4" t="s">
        <v>408</v>
      </c>
      <c r="H1556" s="5">
        <f>ROUND(1300,0)</f>
        <v>1300</v>
      </c>
      <c r="I1556" s="6">
        <f>ROUND(2730,2)</f>
        <v>2730</v>
      </c>
      <c r="J1556" s="6">
        <f>ROUND(8.407077,2)</f>
        <v>8.41</v>
      </c>
      <c r="K1556" s="5">
        <f>ROUND(298367.16,0)</f>
        <v>298367</v>
      </c>
      <c r="L1556" s="7">
        <f>ROUND(0.000103695320927502,4)</f>
        <v>1E-4</v>
      </c>
    </row>
    <row r="1557" spans="1:12">
      <c r="A1557" s="3" t="s">
        <v>3217</v>
      </c>
      <c r="B1557" s="4" t="s">
        <v>3218</v>
      </c>
      <c r="C1557" s="4" t="s">
        <v>400</v>
      </c>
      <c r="D1557" s="4" t="s">
        <v>514</v>
      </c>
      <c r="E1557" s="4" t="s">
        <v>515</v>
      </c>
      <c r="F1557" s="4" t="s">
        <v>190</v>
      </c>
      <c r="G1557" s="4" t="s">
        <v>408</v>
      </c>
      <c r="H1557" s="5">
        <f>ROUND(4100,0)</f>
        <v>4100</v>
      </c>
      <c r="I1557" s="6">
        <f>ROUND(10.6,2)</f>
        <v>10.6</v>
      </c>
      <c r="J1557" s="6">
        <f>ROUND(6.86237833,2)</f>
        <v>6.86</v>
      </c>
      <c r="K1557" s="5">
        <f>ROUND(298238.96,0)</f>
        <v>298239</v>
      </c>
      <c r="L1557" s="7">
        <f>ROUND(0.000103650765956563,4)</f>
        <v>1E-4</v>
      </c>
    </row>
    <row r="1558" spans="1:12">
      <c r="A1558" s="3" t="s">
        <v>3219</v>
      </c>
      <c r="B1558" s="4" t="s">
        <v>3220</v>
      </c>
      <c r="C1558" s="4" t="s">
        <v>430</v>
      </c>
      <c r="D1558" s="4" t="s">
        <v>2063</v>
      </c>
      <c r="E1558" s="4" t="s">
        <v>2064</v>
      </c>
      <c r="F1558" s="4" t="s">
        <v>2065</v>
      </c>
      <c r="G1558" s="4" t="s">
        <v>408</v>
      </c>
      <c r="H1558" s="5">
        <f>ROUND(3488,0)</f>
        <v>3488</v>
      </c>
      <c r="I1558" s="6">
        <f>ROUND(2890,2)</f>
        <v>2890</v>
      </c>
      <c r="J1558" s="6">
        <f>ROUND(0.02957175,2)</f>
        <v>0.03</v>
      </c>
      <c r="K1558" s="5">
        <f>ROUND(298092.7,0)</f>
        <v>298093</v>
      </c>
      <c r="L1558" s="7">
        <f>ROUND(0.000103599934364913,4)</f>
        <v>1E-4</v>
      </c>
    </row>
    <row r="1559" spans="1:12">
      <c r="A1559" s="3" t="s">
        <v>3221</v>
      </c>
      <c r="B1559" s="4" t="s">
        <v>3222</v>
      </c>
      <c r="C1559" s="4" t="s">
        <v>422</v>
      </c>
      <c r="D1559" s="4" t="s">
        <v>456</v>
      </c>
      <c r="E1559" s="4" t="s">
        <v>457</v>
      </c>
      <c r="F1559" s="4" t="s">
        <v>26</v>
      </c>
      <c r="G1559" s="4" t="s">
        <v>408</v>
      </c>
      <c r="H1559" s="5">
        <f>ROUND(41000,0)</f>
        <v>41000</v>
      </c>
      <c r="I1559" s="6">
        <f>ROUND(6.27,2)</f>
        <v>6.27</v>
      </c>
      <c r="J1559" s="6">
        <f>ROUND(1.15901246,2)</f>
        <v>1.1599999999999999</v>
      </c>
      <c r="K1559" s="5">
        <f>ROUND(297947.33,0)</f>
        <v>297947</v>
      </c>
      <c r="L1559" s="7">
        <f>ROUND(0.000103549412086244,4)</f>
        <v>1E-4</v>
      </c>
    </row>
    <row r="1560" spans="1:12">
      <c r="A1560" s="3" t="s">
        <v>3223</v>
      </c>
      <c r="B1560" s="4" t="s">
        <v>3224</v>
      </c>
      <c r="C1560" s="4" t="s">
        <v>545</v>
      </c>
      <c r="D1560" s="4" t="s">
        <v>2277</v>
      </c>
      <c r="E1560" s="4" t="s">
        <v>2278</v>
      </c>
      <c r="F1560" s="4" t="s">
        <v>38</v>
      </c>
      <c r="G1560" s="4" t="s">
        <v>408</v>
      </c>
      <c r="H1560" s="5">
        <f>ROUND(26948,0)</f>
        <v>26948</v>
      </c>
      <c r="I1560" s="6">
        <f>ROUND(6.85,2)</f>
        <v>6.85</v>
      </c>
      <c r="J1560" s="6">
        <f>ROUND(1.60912955,2)</f>
        <v>1.61</v>
      </c>
      <c r="K1560" s="5">
        <f>ROUND(297035.34,0)</f>
        <v>297035</v>
      </c>
      <c r="L1560" s="7">
        <f>ROUND(0.000103232456642043,4)</f>
        <v>1E-4</v>
      </c>
    </row>
    <row r="1561" spans="1:12">
      <c r="A1561" s="3" t="s">
        <v>3225</v>
      </c>
      <c r="B1561" s="4" t="s">
        <v>3226</v>
      </c>
      <c r="C1561" s="4" t="s">
        <v>422</v>
      </c>
      <c r="D1561" s="4" t="s">
        <v>489</v>
      </c>
      <c r="E1561" s="4" t="s">
        <v>490</v>
      </c>
      <c r="F1561" s="4" t="s">
        <v>45</v>
      </c>
      <c r="G1561" s="4" t="s">
        <v>408</v>
      </c>
      <c r="H1561" s="5">
        <f>ROUND(300,0)</f>
        <v>300</v>
      </c>
      <c r="I1561" s="6">
        <f>ROUND(11770,2)</f>
        <v>11770</v>
      </c>
      <c r="J1561" s="6">
        <f>ROUND(8.407077,2)</f>
        <v>8.41</v>
      </c>
      <c r="K1561" s="5">
        <f>ROUND(296853.89,0)</f>
        <v>296854</v>
      </c>
      <c r="L1561" s="7">
        <f>ROUND(0.000103169395023659,4)</f>
        <v>1E-4</v>
      </c>
    </row>
    <row r="1562" spans="1:12">
      <c r="A1562" s="3" t="s">
        <v>3227</v>
      </c>
      <c r="B1562" s="4" t="s">
        <v>3228</v>
      </c>
      <c r="C1562" s="4" t="s">
        <v>389</v>
      </c>
      <c r="D1562" s="4" t="s">
        <v>486</v>
      </c>
      <c r="E1562" s="4" t="s">
        <v>30</v>
      </c>
      <c r="F1562" s="4" t="s">
        <v>20</v>
      </c>
      <c r="G1562" s="4" t="s">
        <v>408</v>
      </c>
      <c r="H1562" s="5">
        <f>ROUND(12800,0)</f>
        <v>12800</v>
      </c>
      <c r="I1562" s="6">
        <f>ROUND(206.8,2)</f>
        <v>206.8</v>
      </c>
      <c r="J1562" s="6">
        <f>ROUND(11.19645077,2)</f>
        <v>11.2</v>
      </c>
      <c r="K1562" s="5">
        <f>ROUND(296374.53,0)</f>
        <v>296375</v>
      </c>
      <c r="L1562" s="7">
        <f>ROUND(0.000103002796966957,4)</f>
        <v>1E-4</v>
      </c>
    </row>
    <row r="1563" spans="1:12">
      <c r="A1563" s="3" t="s">
        <v>3229</v>
      </c>
      <c r="B1563" s="4" t="s">
        <v>3230</v>
      </c>
      <c r="C1563" s="4" t="s">
        <v>415</v>
      </c>
      <c r="D1563" s="4" t="s">
        <v>1228</v>
      </c>
      <c r="E1563" s="4" t="s">
        <v>1229</v>
      </c>
      <c r="F1563" s="4" t="s">
        <v>18</v>
      </c>
      <c r="G1563" s="4" t="s">
        <v>408</v>
      </c>
      <c r="H1563" s="5">
        <f>ROUND(678,0)</f>
        <v>678</v>
      </c>
      <c r="I1563" s="6">
        <f>ROUND(44.12,2)</f>
        <v>44.12</v>
      </c>
      <c r="J1563" s="6">
        <f>ROUND(9.9055,2)</f>
        <v>9.91</v>
      </c>
      <c r="K1563" s="5">
        <f>ROUND(296306.79,0)</f>
        <v>296307</v>
      </c>
      <c r="L1563" s="7">
        <f>ROUND(0.00010297925442615,4)</f>
        <v>1E-4</v>
      </c>
    </row>
    <row r="1564" spans="1:12">
      <c r="A1564" s="3" t="s">
        <v>3231</v>
      </c>
      <c r="B1564" s="4" t="s">
        <v>3232</v>
      </c>
      <c r="C1564" s="4" t="s">
        <v>534</v>
      </c>
      <c r="D1564" s="4" t="s">
        <v>407</v>
      </c>
      <c r="E1564" s="4" t="s">
        <v>35</v>
      </c>
      <c r="F1564" s="4" t="s">
        <v>21</v>
      </c>
      <c r="G1564" s="4" t="s">
        <v>408</v>
      </c>
      <c r="H1564" s="5">
        <f>ROUND(1066,0)</f>
        <v>1066</v>
      </c>
      <c r="I1564" s="6">
        <f>ROUND(30.47,2)</f>
        <v>30.47</v>
      </c>
      <c r="J1564" s="6">
        <f>ROUND(9.08595,2)</f>
        <v>9.09</v>
      </c>
      <c r="K1564" s="5">
        <f>ROUND(295120.92,0)</f>
        <v>295121</v>
      </c>
      <c r="L1564" s="7">
        <f>ROUND(0.000102567113994112,4)</f>
        <v>1E-4</v>
      </c>
    </row>
    <row r="1565" spans="1:12">
      <c r="A1565" s="3" t="s">
        <v>3233</v>
      </c>
      <c r="B1565" s="4" t="s">
        <v>3234</v>
      </c>
      <c r="C1565" s="4" t="s">
        <v>400</v>
      </c>
      <c r="D1565" s="4" t="s">
        <v>407</v>
      </c>
      <c r="E1565" s="4" t="s">
        <v>35</v>
      </c>
      <c r="F1565" s="4" t="s">
        <v>21</v>
      </c>
      <c r="G1565" s="4" t="s">
        <v>408</v>
      </c>
      <c r="H1565" s="5">
        <f>ROUND(300,0)</f>
        <v>300</v>
      </c>
      <c r="I1565" s="6">
        <f>ROUND(107.85,2)</f>
        <v>107.85</v>
      </c>
      <c r="J1565" s="6">
        <f>ROUND(9.08595,2)</f>
        <v>9.09</v>
      </c>
      <c r="K1565" s="5">
        <f>ROUND(293975.91,0)</f>
        <v>293976</v>
      </c>
      <c r="L1565" s="7">
        <f>ROUND(0.000102169174155776,4)</f>
        <v>1E-4</v>
      </c>
    </row>
    <row r="1566" spans="1:12">
      <c r="A1566" s="3" t="s">
        <v>3235</v>
      </c>
      <c r="B1566" s="4" t="s">
        <v>3236</v>
      </c>
      <c r="C1566" s="4" t="s">
        <v>445</v>
      </c>
      <c r="D1566" s="4" t="s">
        <v>489</v>
      </c>
      <c r="E1566" s="4" t="s">
        <v>490</v>
      </c>
      <c r="F1566" s="4" t="s">
        <v>45</v>
      </c>
      <c r="G1566" s="4" t="s">
        <v>408</v>
      </c>
      <c r="H1566" s="5">
        <f>ROUND(600,0)</f>
        <v>600</v>
      </c>
      <c r="I1566" s="6">
        <f>ROUND(5800,2)</f>
        <v>5800</v>
      </c>
      <c r="J1566" s="6">
        <f>ROUND(8.407077,2)</f>
        <v>8.41</v>
      </c>
      <c r="K1566" s="5">
        <f>ROUND(292566.28,0)</f>
        <v>292566</v>
      </c>
      <c r="L1566" s="7">
        <f>ROUND(0.000101679267574774,4)</f>
        <v>1E-4</v>
      </c>
    </row>
    <row r="1567" spans="1:12">
      <c r="A1567" s="3" t="s">
        <v>3237</v>
      </c>
      <c r="B1567" s="4" t="s">
        <v>3238</v>
      </c>
      <c r="C1567" s="4" t="s">
        <v>400</v>
      </c>
      <c r="D1567" s="4" t="s">
        <v>486</v>
      </c>
      <c r="E1567" s="4" t="s">
        <v>30</v>
      </c>
      <c r="F1567" s="4" t="s">
        <v>20</v>
      </c>
      <c r="G1567" s="4" t="s">
        <v>408</v>
      </c>
      <c r="H1567" s="5">
        <f>ROUND(1256,0)</f>
        <v>1256</v>
      </c>
      <c r="I1567" s="6">
        <f>ROUND(2079,2)</f>
        <v>2079</v>
      </c>
      <c r="J1567" s="6">
        <f>ROUND(11.19645077,2)</f>
        <v>11.2</v>
      </c>
      <c r="K1567" s="5">
        <f>ROUND(292364.41,0)</f>
        <v>292364</v>
      </c>
      <c r="L1567" s="7">
        <f>ROUND(0.000101609109134965,4)</f>
        <v>1E-4</v>
      </c>
    </row>
    <row r="1568" spans="1:12">
      <c r="A1568" s="3" t="s">
        <v>3239</v>
      </c>
      <c r="B1568" s="4" t="s">
        <v>3240</v>
      </c>
      <c r="C1568" s="4" t="s">
        <v>400</v>
      </c>
      <c r="D1568" s="4" t="s">
        <v>3241</v>
      </c>
      <c r="E1568" s="4" t="s">
        <v>3242</v>
      </c>
      <c r="F1568" s="4" t="s">
        <v>18</v>
      </c>
      <c r="G1568" s="4" t="s">
        <v>408</v>
      </c>
      <c r="H1568" s="5">
        <f>ROUND(17178,0)</f>
        <v>17178</v>
      </c>
      <c r="I1568" s="6">
        <f>ROUND(1.713,2)</f>
        <v>1.71</v>
      </c>
      <c r="J1568" s="6">
        <f>ROUND(9.9055,2)</f>
        <v>9.91</v>
      </c>
      <c r="K1568" s="5">
        <f>ROUND(291478.35,0)</f>
        <v>291478</v>
      </c>
      <c r="L1568" s="7">
        <f>ROUND(0.000101301165472328,4)</f>
        <v>1E-4</v>
      </c>
    </row>
    <row r="1569" spans="1:12">
      <c r="A1569" s="3" t="s">
        <v>3243</v>
      </c>
      <c r="B1569" s="4" t="s">
        <v>3244</v>
      </c>
      <c r="C1569" s="4" t="s">
        <v>400</v>
      </c>
      <c r="D1569" s="4" t="s">
        <v>401</v>
      </c>
      <c r="E1569" s="4" t="s">
        <v>402</v>
      </c>
      <c r="F1569" s="4" t="s">
        <v>403</v>
      </c>
      <c r="G1569" s="4" t="s">
        <v>408</v>
      </c>
      <c r="H1569" s="5">
        <f>ROUND(37910,0)</f>
        <v>37910</v>
      </c>
      <c r="I1569" s="6">
        <f>ROUND(26.25,2)</f>
        <v>26.25</v>
      </c>
      <c r="J1569" s="6">
        <f>ROUND(0.29286371,2)</f>
        <v>0.28999999999999998</v>
      </c>
      <c r="K1569" s="5">
        <f>ROUND(291439.66,0)</f>
        <v>291440</v>
      </c>
      <c r="L1569" s="7">
        <f>ROUND(0.000101287719046231,4)</f>
        <v>1E-4</v>
      </c>
    </row>
    <row r="1570" spans="1:12">
      <c r="A1570" s="3" t="s">
        <v>3245</v>
      </c>
      <c r="B1570" s="4" t="s">
        <v>3246</v>
      </c>
      <c r="C1570" s="4" t="s">
        <v>430</v>
      </c>
      <c r="D1570" s="4" t="s">
        <v>407</v>
      </c>
      <c r="E1570" s="4" t="s">
        <v>35</v>
      </c>
      <c r="F1570" s="4" t="s">
        <v>21</v>
      </c>
      <c r="G1570" s="4" t="s">
        <v>408</v>
      </c>
      <c r="H1570" s="5">
        <f>ROUND(800,0)</f>
        <v>800</v>
      </c>
      <c r="I1570" s="6">
        <f>ROUND(40.07,2)</f>
        <v>40.07</v>
      </c>
      <c r="J1570" s="6">
        <f>ROUND(9.08595,2)</f>
        <v>9.09</v>
      </c>
      <c r="K1570" s="5">
        <f>ROUND(291259.21,0)</f>
        <v>291259</v>
      </c>
      <c r="L1570" s="7">
        <f>ROUND(0.000101225004970522,4)</f>
        <v>1E-4</v>
      </c>
    </row>
    <row r="1571" spans="1:12">
      <c r="A1571" s="3" t="s">
        <v>3247</v>
      </c>
      <c r="B1571" s="4" t="s">
        <v>3248</v>
      </c>
      <c r="C1571" s="4" t="s">
        <v>534</v>
      </c>
      <c r="D1571" s="4" t="s">
        <v>489</v>
      </c>
      <c r="E1571" s="4" t="s">
        <v>490</v>
      </c>
      <c r="F1571" s="4" t="s">
        <v>45</v>
      </c>
      <c r="G1571" s="4" t="s">
        <v>408</v>
      </c>
      <c r="H1571" s="5">
        <f>ROUND(3800,0)</f>
        <v>3800</v>
      </c>
      <c r="I1571" s="6">
        <f>ROUND(910,2)</f>
        <v>910</v>
      </c>
      <c r="J1571" s="6">
        <f>ROUND(8.407077,2)</f>
        <v>8.41</v>
      </c>
      <c r="K1571" s="5">
        <f>ROUND(290716.72,0)</f>
        <v>290717</v>
      </c>
      <c r="L1571" s="7">
        <f>ROUND(0.000101036466544745,4)</f>
        <v>1E-4</v>
      </c>
    </row>
    <row r="1572" spans="1:12">
      <c r="A1572" s="3" t="s">
        <v>3249</v>
      </c>
      <c r="B1572" s="4" t="s">
        <v>3250</v>
      </c>
      <c r="C1572" s="4" t="s">
        <v>400</v>
      </c>
      <c r="D1572" s="4" t="s">
        <v>520</v>
      </c>
      <c r="E1572" s="4" t="s">
        <v>521</v>
      </c>
      <c r="F1572" s="4" t="s">
        <v>18</v>
      </c>
      <c r="G1572" s="4" t="s">
        <v>408</v>
      </c>
      <c r="H1572" s="5">
        <f>ROUND(7701,0)</f>
        <v>7701</v>
      </c>
      <c r="I1572" s="6">
        <f>ROUND(3.805,2)</f>
        <v>3.81</v>
      </c>
      <c r="J1572" s="6">
        <f>ROUND(9.9055,2)</f>
        <v>9.91</v>
      </c>
      <c r="K1572" s="5">
        <f>ROUND(290254.03,0)</f>
        <v>290254</v>
      </c>
      <c r="L1572" s="7">
        <f>ROUND(0.000100875662024436,4)</f>
        <v>1E-4</v>
      </c>
    </row>
    <row r="1573" spans="1:12">
      <c r="A1573" s="3" t="s">
        <v>3251</v>
      </c>
      <c r="B1573" s="4" t="s">
        <v>3252</v>
      </c>
      <c r="C1573" s="4" t="s">
        <v>534</v>
      </c>
      <c r="D1573" s="4" t="s">
        <v>390</v>
      </c>
      <c r="E1573" s="4" t="s">
        <v>391</v>
      </c>
      <c r="F1573" s="4" t="s">
        <v>72</v>
      </c>
      <c r="G1573" s="4" t="s">
        <v>408</v>
      </c>
      <c r="H1573" s="5">
        <f>ROUND(8016,0)</f>
        <v>8016</v>
      </c>
      <c r="I1573" s="6">
        <f>ROUND(5.9,2)</f>
        <v>5.9</v>
      </c>
      <c r="J1573" s="6">
        <f>ROUND(6.12812423,2)</f>
        <v>6.13</v>
      </c>
      <c r="K1573" s="5">
        <f>ROUND(289825.96,0)</f>
        <v>289826</v>
      </c>
      <c r="L1573" s="7">
        <f>ROUND(0.000100726889431535,4)</f>
        <v>1E-4</v>
      </c>
    </row>
    <row r="1574" spans="1:12">
      <c r="A1574" s="3" t="s">
        <v>3253</v>
      </c>
      <c r="B1574" s="4" t="s">
        <v>3254</v>
      </c>
      <c r="C1574" s="4" t="s">
        <v>545</v>
      </c>
      <c r="D1574" s="4" t="s">
        <v>3255</v>
      </c>
      <c r="E1574" s="4" t="s">
        <v>3256</v>
      </c>
      <c r="F1574" s="4" t="s">
        <v>21</v>
      </c>
      <c r="G1574" s="4" t="s">
        <v>408</v>
      </c>
      <c r="H1574" s="5">
        <f>ROUND(2100,0)</f>
        <v>2100</v>
      </c>
      <c r="I1574" s="6">
        <f>ROUND(15.18,2)</f>
        <v>15.18</v>
      </c>
      <c r="J1574" s="6">
        <f>ROUND(9.08595,2)</f>
        <v>9.09</v>
      </c>
      <c r="K1574" s="5">
        <f>ROUND(289641.91,0)</f>
        <v>289642</v>
      </c>
      <c r="L1574" s="7">
        <f>ROUND(0.000100662924202196,4)</f>
        <v>1E-4</v>
      </c>
    </row>
    <row r="1575" spans="1:12">
      <c r="A1575" s="3" t="s">
        <v>3257</v>
      </c>
      <c r="B1575" s="4" t="s">
        <v>3258</v>
      </c>
      <c r="C1575" s="4" t="s">
        <v>389</v>
      </c>
      <c r="D1575" s="4" t="s">
        <v>390</v>
      </c>
      <c r="E1575" s="4" t="s">
        <v>391</v>
      </c>
      <c r="F1575" s="4" t="s">
        <v>72</v>
      </c>
      <c r="G1575" s="4" t="s">
        <v>408</v>
      </c>
      <c r="H1575" s="5">
        <f>ROUND(10399,0)</f>
        <v>10399</v>
      </c>
      <c r="I1575" s="6">
        <f>ROUND(4.53,2)</f>
        <v>4.53</v>
      </c>
      <c r="J1575" s="6">
        <f>ROUND(6.12812423,2)</f>
        <v>6.13</v>
      </c>
      <c r="K1575" s="5">
        <f>ROUND(288680.43,0)</f>
        <v>288680</v>
      </c>
      <c r="L1575" s="7">
        <f>ROUND(0.000100328768871008,4)</f>
        <v>1E-4</v>
      </c>
    </row>
    <row r="1576" spans="1:12">
      <c r="A1576" s="3" t="s">
        <v>3259</v>
      </c>
      <c r="B1576" s="4" t="s">
        <v>3260</v>
      </c>
      <c r="C1576" s="4" t="s">
        <v>445</v>
      </c>
      <c r="D1576" s="4" t="s">
        <v>1111</v>
      </c>
      <c r="E1576" s="4" t="s">
        <v>1112</v>
      </c>
      <c r="F1576" s="4" t="s">
        <v>18</v>
      </c>
      <c r="G1576" s="4" t="s">
        <v>408</v>
      </c>
      <c r="H1576" s="5">
        <f>ROUND(851,0)</f>
        <v>851</v>
      </c>
      <c r="I1576" s="6">
        <f>ROUND(34.22,2)</f>
        <v>34.22</v>
      </c>
      <c r="J1576" s="6">
        <f>ROUND(9.9055,2)</f>
        <v>9.91</v>
      </c>
      <c r="K1576" s="5">
        <f>ROUND(288460.24,0)</f>
        <v>288460</v>
      </c>
      <c r="L1576" s="7">
        <f>ROUND(0.000100252243449393,4)</f>
        <v>1E-4</v>
      </c>
    </row>
    <row r="1577" spans="1:12">
      <c r="A1577" s="3" t="s">
        <v>3261</v>
      </c>
      <c r="B1577" s="4" t="s">
        <v>3262</v>
      </c>
      <c r="C1577" s="4" t="s">
        <v>545</v>
      </c>
      <c r="D1577" s="4" t="s">
        <v>717</v>
      </c>
      <c r="E1577" s="4" t="s">
        <v>718</v>
      </c>
      <c r="F1577" s="4" t="s">
        <v>175</v>
      </c>
      <c r="G1577" s="4" t="s">
        <v>408</v>
      </c>
      <c r="H1577" s="5">
        <f>ROUND(525,0)</f>
        <v>525</v>
      </c>
      <c r="I1577" s="6">
        <f>ROUND(91303,2)</f>
        <v>91303</v>
      </c>
      <c r="J1577" s="6">
        <f>ROUND(0.59923836,2)</f>
        <v>0.6</v>
      </c>
      <c r="K1577" s="5">
        <f>ROUND(287239.36,0)</f>
        <v>287239</v>
      </c>
      <c r="L1577" s="7">
        <f>ROUND(0.0000998279355483033,4)</f>
        <v>1E-4</v>
      </c>
    </row>
    <row r="1578" spans="1:12">
      <c r="A1578" s="3" t="s">
        <v>3263</v>
      </c>
      <c r="B1578" s="4" t="s">
        <v>3264</v>
      </c>
      <c r="C1578" s="4" t="s">
        <v>415</v>
      </c>
      <c r="D1578" s="4" t="s">
        <v>407</v>
      </c>
      <c r="E1578" s="4" t="s">
        <v>35</v>
      </c>
      <c r="F1578" s="4" t="s">
        <v>21</v>
      </c>
      <c r="G1578" s="4" t="s">
        <v>408</v>
      </c>
      <c r="H1578" s="5">
        <f>ROUND(1000,0)</f>
        <v>1000</v>
      </c>
      <c r="I1578" s="6">
        <f>ROUND(31.54,2)</f>
        <v>31.54</v>
      </c>
      <c r="J1578" s="6">
        <f>ROUND(9.08595,2)</f>
        <v>9.09</v>
      </c>
      <c r="K1578" s="5">
        <f>ROUND(286570.86,0)</f>
        <v>286571</v>
      </c>
      <c r="L1578" s="7">
        <f>ROUND(0.0000995956032700458,4)</f>
        <v>1E-4</v>
      </c>
    </row>
    <row r="1579" spans="1:12">
      <c r="A1579" s="3" t="s">
        <v>3265</v>
      </c>
      <c r="B1579" s="4" t="s">
        <v>3266</v>
      </c>
      <c r="C1579" s="4" t="s">
        <v>445</v>
      </c>
      <c r="D1579" s="4" t="s">
        <v>489</v>
      </c>
      <c r="E1579" s="4" t="s">
        <v>490</v>
      </c>
      <c r="F1579" s="4" t="s">
        <v>45</v>
      </c>
      <c r="G1579" s="4" t="s">
        <v>408</v>
      </c>
      <c r="H1579" s="5">
        <f>ROUND(1200,0)</f>
        <v>1200</v>
      </c>
      <c r="I1579" s="6">
        <f>ROUND(2837,2)</f>
        <v>2837</v>
      </c>
      <c r="J1579" s="6">
        <f>ROUND(8.407077,2)</f>
        <v>8.41</v>
      </c>
      <c r="K1579" s="5">
        <f>ROUND(286210.53,0)</f>
        <v>286211</v>
      </c>
      <c r="L1579" s="7">
        <f>ROUND(0.0000994703732179522,4)</f>
        <v>1E-4</v>
      </c>
    </row>
    <row r="1580" spans="1:12">
      <c r="A1580" s="3" t="s">
        <v>3267</v>
      </c>
      <c r="B1580" s="4" t="s">
        <v>3268</v>
      </c>
      <c r="C1580" s="4" t="s">
        <v>445</v>
      </c>
      <c r="D1580" s="4" t="s">
        <v>390</v>
      </c>
      <c r="E1580" s="4" t="s">
        <v>391</v>
      </c>
      <c r="F1580" s="4" t="s">
        <v>72</v>
      </c>
      <c r="G1580" s="4" t="s">
        <v>408</v>
      </c>
      <c r="H1580" s="5">
        <f>ROUND(1665,0)</f>
        <v>1665</v>
      </c>
      <c r="I1580" s="6">
        <f>ROUND(28.05,2)</f>
        <v>28.05</v>
      </c>
      <c r="J1580" s="6">
        <f>ROUND(6.12812423,2)</f>
        <v>6.13</v>
      </c>
      <c r="K1580" s="5">
        <f>ROUND(286203.32,0)</f>
        <v>286203</v>
      </c>
      <c r="L1580" s="7">
        <f>ROUND(0.0000994678674352653,4)</f>
        <v>1E-4</v>
      </c>
    </row>
    <row r="1581" spans="1:12">
      <c r="A1581" s="3" t="s">
        <v>3269</v>
      </c>
      <c r="B1581" s="4" t="s">
        <v>3270</v>
      </c>
      <c r="C1581" s="4" t="s">
        <v>415</v>
      </c>
      <c r="D1581" s="4" t="s">
        <v>1024</v>
      </c>
      <c r="E1581" s="4" t="s">
        <v>1025</v>
      </c>
      <c r="F1581" s="4" t="s">
        <v>1026</v>
      </c>
      <c r="G1581" s="4" t="s">
        <v>408</v>
      </c>
      <c r="H1581" s="5">
        <f>ROUND(2112,0)</f>
        <v>2112</v>
      </c>
      <c r="I1581" s="6">
        <f>ROUND(146.5,2)</f>
        <v>146.5</v>
      </c>
      <c r="J1581" s="6">
        <f>ROUND(0.92410673,2)</f>
        <v>0.92</v>
      </c>
      <c r="K1581" s="5">
        <f>ROUND(285926.02,0)</f>
        <v>285926</v>
      </c>
      <c r="L1581" s="7">
        <f>ROUND(0.0000993714938514794,4)</f>
        <v>1E-4</v>
      </c>
    </row>
    <row r="1582" spans="1:12">
      <c r="A1582" s="3" t="s">
        <v>3271</v>
      </c>
      <c r="B1582" s="4" t="s">
        <v>3272</v>
      </c>
      <c r="C1582" s="4" t="s">
        <v>566</v>
      </c>
      <c r="D1582" s="4" t="s">
        <v>514</v>
      </c>
      <c r="E1582" s="4" t="s">
        <v>515</v>
      </c>
      <c r="F1582" s="4" t="s">
        <v>190</v>
      </c>
      <c r="G1582" s="4" t="s">
        <v>408</v>
      </c>
      <c r="H1582" s="5">
        <f>ROUND(1800,0)</f>
        <v>1800</v>
      </c>
      <c r="I1582" s="6">
        <f>ROUND(23.13,2)</f>
        <v>23.13</v>
      </c>
      <c r="J1582" s="6">
        <f>ROUND(6.86237833,2)</f>
        <v>6.86</v>
      </c>
      <c r="K1582" s="5">
        <f>ROUND(285708.26,0)</f>
        <v>285708</v>
      </c>
      <c r="L1582" s="7">
        <f>ROUND(0.0000992958129585649,4)</f>
        <v>1E-4</v>
      </c>
    </row>
    <row r="1583" spans="1:12">
      <c r="A1583" s="3" t="s">
        <v>3273</v>
      </c>
      <c r="B1583" s="4" t="s">
        <v>3274</v>
      </c>
      <c r="C1583" s="4" t="s">
        <v>534</v>
      </c>
      <c r="D1583" s="4" t="s">
        <v>407</v>
      </c>
      <c r="E1583" s="4" t="s">
        <v>35</v>
      </c>
      <c r="F1583" s="4" t="s">
        <v>21</v>
      </c>
      <c r="G1583" s="4" t="s">
        <v>408</v>
      </c>
      <c r="H1583" s="5">
        <f>ROUND(200,0)</f>
        <v>200</v>
      </c>
      <c r="I1583" s="6">
        <f>ROUND(156.54,2)</f>
        <v>156.54</v>
      </c>
      <c r="J1583" s="6">
        <f>ROUND(9.08595,2)</f>
        <v>9.09</v>
      </c>
      <c r="K1583" s="5">
        <f>ROUND(284462.92,0)</f>
        <v>284463</v>
      </c>
      <c r="L1583" s="7">
        <f>ROUND(0.000098863004163643,4)</f>
        <v>1E-4</v>
      </c>
    </row>
    <row r="1584" spans="1:12">
      <c r="A1584" s="3" t="s">
        <v>3275</v>
      </c>
      <c r="B1584" s="4" t="s">
        <v>3276</v>
      </c>
      <c r="C1584" s="4" t="s">
        <v>389</v>
      </c>
      <c r="D1584" s="4" t="s">
        <v>1217</v>
      </c>
      <c r="E1584" s="4" t="s">
        <v>1218</v>
      </c>
      <c r="F1584" s="4" t="s">
        <v>26</v>
      </c>
      <c r="G1584" s="4" t="s">
        <v>408</v>
      </c>
      <c r="H1584" s="5">
        <f>ROUND(12000,0)</f>
        <v>12000</v>
      </c>
      <c r="I1584" s="6">
        <f>ROUND(20.45,2)</f>
        <v>20.45</v>
      </c>
      <c r="J1584" s="6">
        <f>ROUND(1.15901246,2)</f>
        <v>1.1599999999999999</v>
      </c>
      <c r="K1584" s="5">
        <f>ROUND(284421.66,0)</f>
        <v>284422</v>
      </c>
      <c r="L1584" s="7">
        <f>ROUND(0.0000988486645528713,4)</f>
        <v>1E-4</v>
      </c>
    </row>
    <row r="1585" spans="1:12">
      <c r="A1585" s="3" t="s">
        <v>3277</v>
      </c>
      <c r="B1585" s="4" t="s">
        <v>3278</v>
      </c>
      <c r="C1585" s="4" t="s">
        <v>400</v>
      </c>
      <c r="D1585" s="4" t="s">
        <v>520</v>
      </c>
      <c r="E1585" s="4" t="s">
        <v>521</v>
      </c>
      <c r="F1585" s="4" t="s">
        <v>18</v>
      </c>
      <c r="G1585" s="4" t="s">
        <v>408</v>
      </c>
      <c r="H1585" s="5">
        <f>ROUND(754,0)</f>
        <v>754</v>
      </c>
      <c r="I1585" s="6">
        <f>ROUND(37.89,2)</f>
        <v>37.89</v>
      </c>
      <c r="J1585" s="6">
        <f>ROUND(9.9055,2)</f>
        <v>9.91</v>
      </c>
      <c r="K1585" s="5">
        <f>ROUND(282990.82,0)</f>
        <v>282991</v>
      </c>
      <c r="L1585" s="7">
        <f>ROUND(0.0000983513865917314,4)</f>
        <v>1E-4</v>
      </c>
    </row>
    <row r="1586" spans="1:12">
      <c r="A1586" s="3" t="s">
        <v>3279</v>
      </c>
      <c r="B1586" s="4" t="s">
        <v>3280</v>
      </c>
      <c r="C1586" s="4" t="s">
        <v>566</v>
      </c>
      <c r="D1586" s="4" t="s">
        <v>390</v>
      </c>
      <c r="E1586" s="4" t="s">
        <v>391</v>
      </c>
      <c r="F1586" s="4" t="s">
        <v>72</v>
      </c>
      <c r="G1586" s="4" t="s">
        <v>408</v>
      </c>
      <c r="H1586" s="5">
        <f>ROUND(3869,0)</f>
        <v>3869</v>
      </c>
      <c r="I1586" s="6">
        <f>ROUND(11.93,2)</f>
        <v>11.93</v>
      </c>
      <c r="J1586" s="6">
        <f>ROUND(6.12812423,2)</f>
        <v>6.13</v>
      </c>
      <c r="K1586" s="5">
        <f>ROUND(282856.87,0)</f>
        <v>282857</v>
      </c>
      <c r="L1586" s="7">
        <f>ROUND(0.0000983048332504111,4)</f>
        <v>1E-4</v>
      </c>
    </row>
    <row r="1587" spans="1:12">
      <c r="A1587" s="3" t="s">
        <v>3281</v>
      </c>
      <c r="B1587" s="4" t="s">
        <v>3282</v>
      </c>
      <c r="C1587" s="4" t="s">
        <v>445</v>
      </c>
      <c r="D1587" s="4" t="s">
        <v>489</v>
      </c>
      <c r="E1587" s="4" t="s">
        <v>490</v>
      </c>
      <c r="F1587" s="4" t="s">
        <v>45</v>
      </c>
      <c r="G1587" s="4" t="s">
        <v>408</v>
      </c>
      <c r="H1587" s="5">
        <f>ROUND(1600,0)</f>
        <v>1600</v>
      </c>
      <c r="I1587" s="6">
        <f>ROUND(2098,2)</f>
        <v>2098</v>
      </c>
      <c r="J1587" s="6">
        <f>ROUND(8.407077,2)</f>
        <v>8.41</v>
      </c>
      <c r="K1587" s="5">
        <f>ROUND(282208.76,0)</f>
        <v>282209</v>
      </c>
      <c r="L1587" s="7">
        <f>ROUND(0.0000980795873672974,4)</f>
        <v>1E-4</v>
      </c>
    </row>
    <row r="1588" spans="1:12">
      <c r="A1588" s="3" t="s">
        <v>3283</v>
      </c>
      <c r="B1588" s="4" t="s">
        <v>3284</v>
      </c>
      <c r="C1588" s="4" t="s">
        <v>406</v>
      </c>
      <c r="D1588" s="4" t="s">
        <v>407</v>
      </c>
      <c r="E1588" s="4" t="s">
        <v>35</v>
      </c>
      <c r="F1588" s="4" t="s">
        <v>21</v>
      </c>
      <c r="G1588" s="4" t="s">
        <v>408</v>
      </c>
      <c r="H1588" s="5">
        <f>ROUND(800,0)</f>
        <v>800</v>
      </c>
      <c r="I1588" s="6">
        <f>ROUND(38.81,2)</f>
        <v>38.81</v>
      </c>
      <c r="J1588" s="6">
        <f>ROUND(9.08595,2)</f>
        <v>9.09</v>
      </c>
      <c r="K1588" s="5">
        <f>ROUND(282100.58,0)</f>
        <v>282101</v>
      </c>
      <c r="L1588" s="7">
        <f>ROUND(0.0000980419902007127,4)</f>
        <v>1E-4</v>
      </c>
    </row>
    <row r="1589" spans="1:12">
      <c r="A1589" s="3" t="s">
        <v>3285</v>
      </c>
      <c r="B1589" s="4" t="s">
        <v>3286</v>
      </c>
      <c r="C1589" s="4" t="s">
        <v>389</v>
      </c>
      <c r="D1589" s="4" t="s">
        <v>489</v>
      </c>
      <c r="E1589" s="4" t="s">
        <v>490</v>
      </c>
      <c r="F1589" s="4" t="s">
        <v>45</v>
      </c>
      <c r="G1589" s="4" t="s">
        <v>408</v>
      </c>
      <c r="H1589" s="5">
        <f>ROUND(1600,0)</f>
        <v>1600</v>
      </c>
      <c r="I1589" s="6">
        <f>ROUND(2097,2)</f>
        <v>2097</v>
      </c>
      <c r="J1589" s="6">
        <f>ROUND(8.407077,2)</f>
        <v>8.41</v>
      </c>
      <c r="K1589" s="5">
        <f>ROUND(282074.25,0)</f>
        <v>282074</v>
      </c>
      <c r="L1589" s="7">
        <f>ROUND(0.0000980328394020792,4)</f>
        <v>1E-4</v>
      </c>
    </row>
    <row r="1590" spans="1:12">
      <c r="A1590" s="3" t="s">
        <v>3287</v>
      </c>
      <c r="B1590" s="4" t="s">
        <v>3288</v>
      </c>
      <c r="C1590" s="4" t="s">
        <v>545</v>
      </c>
      <c r="D1590" s="4" t="s">
        <v>496</v>
      </c>
      <c r="E1590" s="4" t="s">
        <v>497</v>
      </c>
      <c r="F1590" s="4" t="s">
        <v>72</v>
      </c>
      <c r="G1590" s="4" t="s">
        <v>408</v>
      </c>
      <c r="H1590" s="5">
        <f>ROUND(1850,0)</f>
        <v>1850</v>
      </c>
      <c r="I1590" s="6">
        <f>ROUND(24.86,2)</f>
        <v>24.86</v>
      </c>
      <c r="J1590" s="6">
        <f>ROUND(6.12812423,2)</f>
        <v>6.13</v>
      </c>
      <c r="K1590" s="5">
        <f>ROUND(281838.56,0)</f>
        <v>281839</v>
      </c>
      <c r="L1590" s="7">
        <f>ROUND(0.0000979509270690013,4)</f>
        <v>1E-4</v>
      </c>
    </row>
    <row r="1591" spans="1:12">
      <c r="A1591" s="3" t="s">
        <v>3289</v>
      </c>
      <c r="B1591" s="4" t="s">
        <v>3290</v>
      </c>
      <c r="C1591" s="4" t="s">
        <v>534</v>
      </c>
      <c r="D1591" s="4" t="s">
        <v>489</v>
      </c>
      <c r="E1591" s="4" t="s">
        <v>490</v>
      </c>
      <c r="F1591" s="4" t="s">
        <v>45</v>
      </c>
      <c r="G1591" s="4" t="s">
        <v>408</v>
      </c>
      <c r="H1591" s="5">
        <f>ROUND(1000,0)</f>
        <v>1000</v>
      </c>
      <c r="I1591" s="6">
        <f>ROUND(3350,2)</f>
        <v>3350</v>
      </c>
      <c r="J1591" s="6">
        <f>ROUND(8.407077,2)</f>
        <v>8.41</v>
      </c>
      <c r="K1591" s="5">
        <f>ROUND(281637.08,0)</f>
        <v>281637</v>
      </c>
      <c r="L1591" s="7">
        <f>ROUND(0.0000978809041708363,4)</f>
        <v>1E-4</v>
      </c>
    </row>
    <row r="1592" spans="1:12">
      <c r="A1592" s="3" t="s">
        <v>3291</v>
      </c>
      <c r="B1592" s="4" t="s">
        <v>3292</v>
      </c>
      <c r="C1592" s="4" t="s">
        <v>415</v>
      </c>
      <c r="D1592" s="4" t="s">
        <v>486</v>
      </c>
      <c r="E1592" s="4" t="s">
        <v>30</v>
      </c>
      <c r="F1592" s="4" t="s">
        <v>20</v>
      </c>
      <c r="G1592" s="4" t="s">
        <v>408</v>
      </c>
      <c r="H1592" s="5">
        <f>ROUND(19772,0)</f>
        <v>19772</v>
      </c>
      <c r="I1592" s="6">
        <f>ROUND(125.9,2)</f>
        <v>125.9</v>
      </c>
      <c r="J1592" s="6">
        <f>ROUND(11.19645077,2)</f>
        <v>11.2</v>
      </c>
      <c r="K1592" s="5">
        <f>ROUND(278712.69,0)</f>
        <v>278713</v>
      </c>
      <c r="L1592" s="7">
        <f>ROUND(0.0000968645538474053,4)</f>
        <v>1E-4</v>
      </c>
    </row>
    <row r="1593" spans="1:12">
      <c r="A1593" s="3" t="s">
        <v>3293</v>
      </c>
      <c r="B1593" s="4" t="s">
        <v>3294</v>
      </c>
      <c r="C1593" s="4" t="s">
        <v>566</v>
      </c>
      <c r="D1593" s="4" t="s">
        <v>456</v>
      </c>
      <c r="E1593" s="4" t="s">
        <v>457</v>
      </c>
      <c r="F1593" s="4" t="s">
        <v>26</v>
      </c>
      <c r="G1593" s="4" t="s">
        <v>408</v>
      </c>
      <c r="H1593" s="5">
        <f>ROUND(10500,0)</f>
        <v>10500</v>
      </c>
      <c r="I1593" s="6">
        <f>ROUND(22.9,2)</f>
        <v>22.9</v>
      </c>
      <c r="J1593" s="6">
        <f>ROUND(1.15901246,2)</f>
        <v>1.1599999999999999</v>
      </c>
      <c r="K1593" s="5">
        <f>ROUND(278684.55,0)</f>
        <v>278685</v>
      </c>
      <c r="L1593" s="7">
        <f>ROUND(0.00009685477399653,4)</f>
        <v>1E-4</v>
      </c>
    </row>
    <row r="1594" spans="1:12">
      <c r="A1594" s="3" t="s">
        <v>3295</v>
      </c>
      <c r="B1594" s="4" t="s">
        <v>3296</v>
      </c>
      <c r="C1594" s="4" t="s">
        <v>566</v>
      </c>
      <c r="D1594" s="4" t="s">
        <v>489</v>
      </c>
      <c r="E1594" s="4" t="s">
        <v>490</v>
      </c>
      <c r="F1594" s="4" t="s">
        <v>45</v>
      </c>
      <c r="G1594" s="4" t="s">
        <v>408</v>
      </c>
      <c r="H1594" s="5">
        <f>ROUND(16,0)</f>
        <v>16</v>
      </c>
      <c r="I1594" s="6">
        <f>ROUND(207000,2)</f>
        <v>207000</v>
      </c>
      <c r="J1594" s="6">
        <f>ROUND(8.407077,2)</f>
        <v>8.41</v>
      </c>
      <c r="K1594" s="5">
        <f>ROUND(278442.39,0)</f>
        <v>278442</v>
      </c>
      <c r="L1594" s="7">
        <f>ROUND(0.0000967706130623447,4)</f>
        <v>1E-4</v>
      </c>
    </row>
    <row r="1595" spans="1:12">
      <c r="A1595" s="3" t="s">
        <v>3297</v>
      </c>
      <c r="B1595" s="4" t="s">
        <v>3298</v>
      </c>
      <c r="C1595" s="4" t="s">
        <v>534</v>
      </c>
      <c r="D1595" s="4" t="s">
        <v>489</v>
      </c>
      <c r="E1595" s="4" t="s">
        <v>490</v>
      </c>
      <c r="F1595" s="4" t="s">
        <v>45</v>
      </c>
      <c r="G1595" s="4" t="s">
        <v>408</v>
      </c>
      <c r="H1595" s="5">
        <f>ROUND(1300,0)</f>
        <v>1300</v>
      </c>
      <c r="I1595" s="6">
        <f>ROUND(2543,2)</f>
        <v>2543</v>
      </c>
      <c r="J1595" s="6">
        <f>ROUND(8.407077,2)</f>
        <v>8.41</v>
      </c>
      <c r="K1595" s="5">
        <f>ROUND(277929.56,0)</f>
        <v>277930</v>
      </c>
      <c r="L1595" s="7">
        <f>ROUND(0.0000965923827523091,4)</f>
        <v>1E-4</v>
      </c>
    </row>
    <row r="1596" spans="1:12">
      <c r="A1596" s="3" t="s">
        <v>3299</v>
      </c>
      <c r="B1596" s="4" t="s">
        <v>3300</v>
      </c>
      <c r="C1596" s="4" t="s">
        <v>534</v>
      </c>
      <c r="D1596" s="4" t="s">
        <v>407</v>
      </c>
      <c r="E1596" s="4" t="s">
        <v>35</v>
      </c>
      <c r="F1596" s="4" t="s">
        <v>21</v>
      </c>
      <c r="G1596" s="4" t="s">
        <v>408</v>
      </c>
      <c r="H1596" s="5">
        <f>ROUND(600,0)</f>
        <v>600</v>
      </c>
      <c r="I1596" s="6">
        <f>ROUND(50.93,2)</f>
        <v>50.93</v>
      </c>
      <c r="J1596" s="6">
        <f>ROUND(9.08595,2)</f>
        <v>9.09</v>
      </c>
      <c r="K1596" s="5">
        <f>ROUND(277648.46,0)</f>
        <v>277648</v>
      </c>
      <c r="L1596" s="7">
        <f>ROUND(0.0000964946885063582,4)</f>
        <v>1E-4</v>
      </c>
    </row>
    <row r="1597" spans="1:12">
      <c r="A1597" s="3" t="s">
        <v>3301</v>
      </c>
      <c r="B1597" s="4" t="s">
        <v>3302</v>
      </c>
      <c r="C1597" s="4" t="s">
        <v>406</v>
      </c>
      <c r="D1597" s="4" t="s">
        <v>489</v>
      </c>
      <c r="E1597" s="4" t="s">
        <v>490</v>
      </c>
      <c r="F1597" s="4" t="s">
        <v>45</v>
      </c>
      <c r="G1597" s="4" t="s">
        <v>408</v>
      </c>
      <c r="H1597" s="5">
        <f>ROUND(400,0)</f>
        <v>400</v>
      </c>
      <c r="I1597" s="6">
        <f>ROUND(8250,2)</f>
        <v>8250</v>
      </c>
      <c r="J1597" s="6">
        <f>ROUND(8.407077,2)</f>
        <v>8.41</v>
      </c>
      <c r="K1597" s="5">
        <f>ROUND(277433.54,0)</f>
        <v>277434</v>
      </c>
      <c r="L1597" s="7">
        <f>ROUND(0.0000964199946346407,4)</f>
        <v>1E-4</v>
      </c>
    </row>
    <row r="1598" spans="1:12">
      <c r="A1598" s="3" t="s">
        <v>3303</v>
      </c>
      <c r="B1598" s="4" t="s">
        <v>3304</v>
      </c>
      <c r="C1598" s="4" t="s">
        <v>534</v>
      </c>
      <c r="D1598" s="4" t="s">
        <v>390</v>
      </c>
      <c r="E1598" s="4" t="s">
        <v>391</v>
      </c>
      <c r="F1598" s="4" t="s">
        <v>72</v>
      </c>
      <c r="G1598" s="4" t="s">
        <v>408</v>
      </c>
      <c r="H1598" s="5">
        <f>ROUND(1439,0)</f>
        <v>1439</v>
      </c>
      <c r="I1598" s="6">
        <f>ROUND(31.45,2)</f>
        <v>31.45</v>
      </c>
      <c r="J1598" s="6">
        <f>ROUND(6.12812423,2)</f>
        <v>6.13</v>
      </c>
      <c r="K1598" s="5">
        <f>ROUND(277337.76,0)</f>
        <v>277338</v>
      </c>
      <c r="L1598" s="7">
        <f>ROUND(0.0000963867069972263,4)</f>
        <v>1E-4</v>
      </c>
    </row>
    <row r="1599" spans="1:12">
      <c r="A1599" s="3" t="s">
        <v>3305</v>
      </c>
      <c r="B1599" s="4" t="s">
        <v>3306</v>
      </c>
      <c r="C1599" s="4" t="s">
        <v>415</v>
      </c>
      <c r="D1599" s="4" t="s">
        <v>407</v>
      </c>
      <c r="E1599" s="4" t="s">
        <v>35</v>
      </c>
      <c r="F1599" s="4" t="s">
        <v>21</v>
      </c>
      <c r="G1599" s="4" t="s">
        <v>408</v>
      </c>
      <c r="H1599" s="5">
        <f>ROUND(900,0)</f>
        <v>900</v>
      </c>
      <c r="I1599" s="6">
        <f>ROUND(33.9,2)</f>
        <v>33.9</v>
      </c>
      <c r="J1599" s="6">
        <f>ROUND(9.08595,2)</f>
        <v>9.09</v>
      </c>
      <c r="K1599" s="5">
        <f>ROUND(277212.33,0)</f>
        <v>277212</v>
      </c>
      <c r="L1599" s="7">
        <f>ROUND(0.0000963431147194973,4)</f>
        <v>1E-4</v>
      </c>
    </row>
    <row r="1600" spans="1:12">
      <c r="A1600" s="3" t="s">
        <v>3307</v>
      </c>
      <c r="B1600" s="4" t="s">
        <v>3308</v>
      </c>
      <c r="C1600" s="4" t="s">
        <v>415</v>
      </c>
      <c r="D1600" s="4" t="s">
        <v>407</v>
      </c>
      <c r="E1600" s="4" t="s">
        <v>35</v>
      </c>
      <c r="F1600" s="4" t="s">
        <v>21</v>
      </c>
      <c r="G1600" s="4" t="s">
        <v>408</v>
      </c>
      <c r="H1600" s="5">
        <f>ROUND(733,0)</f>
        <v>733</v>
      </c>
      <c r="I1600" s="6">
        <f>ROUND(41.59,2)</f>
        <v>41.59</v>
      </c>
      <c r="J1600" s="6">
        <f>ROUND(9.08595,2)</f>
        <v>9.09</v>
      </c>
      <c r="K1600" s="5">
        <f>ROUND(276989.46,0)</f>
        <v>276989</v>
      </c>
      <c r="L1600" s="7">
        <f>ROUND(0.0000962656578835134,4)</f>
        <v>1E-4</v>
      </c>
    </row>
    <row r="1601" spans="1:12">
      <c r="A1601" s="3" t="s">
        <v>3309</v>
      </c>
      <c r="B1601" s="4" t="s">
        <v>3310</v>
      </c>
      <c r="C1601" s="4" t="s">
        <v>415</v>
      </c>
      <c r="D1601" s="4" t="s">
        <v>1857</v>
      </c>
      <c r="E1601" s="4" t="s">
        <v>1858</v>
      </c>
      <c r="F1601" s="4" t="s">
        <v>1859</v>
      </c>
      <c r="G1601" s="4" t="s">
        <v>408</v>
      </c>
      <c r="H1601" s="5">
        <f>ROUND(11022,0)</f>
        <v>11022</v>
      </c>
      <c r="I1601" s="6">
        <f>ROUND(4.41,2)</f>
        <v>4.41</v>
      </c>
      <c r="J1601" s="6">
        <f>ROUND(5.69723636,2)</f>
        <v>5.7</v>
      </c>
      <c r="K1601" s="5">
        <f>ROUND(276925.68,0)</f>
        <v>276926</v>
      </c>
      <c r="L1601" s="7">
        <f>ROUND(0.0000962434916117,4)</f>
        <v>1E-4</v>
      </c>
    </row>
    <row r="1602" spans="1:12">
      <c r="A1602" s="3" t="s">
        <v>3311</v>
      </c>
      <c r="B1602" s="4" t="s">
        <v>3312</v>
      </c>
      <c r="C1602" s="4" t="s">
        <v>534</v>
      </c>
      <c r="D1602" s="4" t="s">
        <v>496</v>
      </c>
      <c r="E1602" s="4" t="s">
        <v>497</v>
      </c>
      <c r="F1602" s="4" t="s">
        <v>21</v>
      </c>
      <c r="G1602" s="4" t="s">
        <v>408</v>
      </c>
      <c r="H1602" s="5">
        <f>ROUND(293,0)</f>
        <v>293</v>
      </c>
      <c r="I1602" s="6">
        <f>ROUND(103.65,2)</f>
        <v>103.65</v>
      </c>
      <c r="J1602" s="6">
        <f>ROUND(9.08595,2)</f>
        <v>9.09</v>
      </c>
      <c r="K1602" s="5">
        <f>ROUND(275935.3,0)</f>
        <v>275935</v>
      </c>
      <c r="L1602" s="7">
        <f>ROUND(0.0000958992922972038,4)</f>
        <v>1E-4</v>
      </c>
    </row>
    <row r="1603" spans="1:12">
      <c r="A1603" s="3" t="s">
        <v>3313</v>
      </c>
      <c r="B1603" s="4" t="s">
        <v>3314</v>
      </c>
      <c r="C1603" s="4" t="s">
        <v>406</v>
      </c>
      <c r="D1603" s="4" t="s">
        <v>1221</v>
      </c>
      <c r="E1603" s="4" t="s">
        <v>1222</v>
      </c>
      <c r="F1603" s="4" t="s">
        <v>21</v>
      </c>
      <c r="G1603" s="4" t="s">
        <v>408</v>
      </c>
      <c r="H1603" s="5">
        <f>ROUND(2900,0)</f>
        <v>2900</v>
      </c>
      <c r="I1603" s="6">
        <f>ROUND(10.465,2)</f>
        <v>10.47</v>
      </c>
      <c r="J1603" s="6">
        <f>ROUND(9.08595,2)</f>
        <v>9.09</v>
      </c>
      <c r="K1603" s="5">
        <f>ROUND(275744.95,0)</f>
        <v>275745</v>
      </c>
      <c r="L1603" s="7">
        <f>ROUND(0.0000958331375490118,4)</f>
        <v>1E-4</v>
      </c>
    </row>
    <row r="1604" spans="1:12">
      <c r="A1604" s="3" t="s">
        <v>3315</v>
      </c>
      <c r="B1604" s="4" t="s">
        <v>3316</v>
      </c>
      <c r="C1604" s="4" t="s">
        <v>534</v>
      </c>
      <c r="D1604" s="4" t="s">
        <v>552</v>
      </c>
      <c r="E1604" s="4" t="s">
        <v>553</v>
      </c>
      <c r="F1604" s="4" t="s">
        <v>26</v>
      </c>
      <c r="G1604" s="4" t="s">
        <v>408</v>
      </c>
      <c r="H1604" s="5">
        <f>ROUND(24500,0)</f>
        <v>24500</v>
      </c>
      <c r="I1604" s="6">
        <f>ROUND(9.7,2)</f>
        <v>9.6999999999999993</v>
      </c>
      <c r="J1604" s="6">
        <f>ROUND(1.15901246,2)</f>
        <v>1.1599999999999999</v>
      </c>
      <c r="K1604" s="5">
        <f>ROUND(275439.31,0)</f>
        <v>275439</v>
      </c>
      <c r="L1604" s="7">
        <f>ROUND(0.0000957269146058157,4)</f>
        <v>1E-4</v>
      </c>
    </row>
    <row r="1605" spans="1:12">
      <c r="A1605" s="3" t="s">
        <v>3317</v>
      </c>
      <c r="B1605" s="4" t="s">
        <v>3318</v>
      </c>
      <c r="C1605" s="4" t="s">
        <v>545</v>
      </c>
      <c r="D1605" s="4" t="s">
        <v>489</v>
      </c>
      <c r="E1605" s="4" t="s">
        <v>490</v>
      </c>
      <c r="F1605" s="4" t="s">
        <v>45</v>
      </c>
      <c r="G1605" s="4" t="s">
        <v>408</v>
      </c>
      <c r="H1605" s="5">
        <f>ROUND(1300,0)</f>
        <v>1300</v>
      </c>
      <c r="I1605" s="6">
        <f>ROUND(2511,2)</f>
        <v>2511</v>
      </c>
      <c r="J1605" s="6">
        <f>ROUND(8.407077,2)</f>
        <v>8.41</v>
      </c>
      <c r="K1605" s="5">
        <f>ROUND(274432.21,0)</f>
        <v>274432</v>
      </c>
      <c r="L1605" s="7">
        <f>ROUND(0.000095376904377793,4)</f>
        <v>1E-4</v>
      </c>
    </row>
    <row r="1606" spans="1:12">
      <c r="A1606" s="3" t="s">
        <v>3319</v>
      </c>
      <c r="B1606" s="4" t="s">
        <v>3320</v>
      </c>
      <c r="C1606" s="4" t="s">
        <v>415</v>
      </c>
      <c r="D1606" s="4" t="s">
        <v>456</v>
      </c>
      <c r="E1606" s="4" t="s">
        <v>457</v>
      </c>
      <c r="F1606" s="4" t="s">
        <v>26</v>
      </c>
      <c r="G1606" s="4" t="s">
        <v>408</v>
      </c>
      <c r="H1606" s="5">
        <f>ROUND(19000,0)</f>
        <v>19000</v>
      </c>
      <c r="I1606" s="6">
        <f>ROUND(12.44,2)</f>
        <v>12.44</v>
      </c>
      <c r="J1606" s="6">
        <f>ROUND(1.15901246,2)</f>
        <v>1.1599999999999999</v>
      </c>
      <c r="K1606" s="5">
        <f>ROUND(273944.19,0)</f>
        <v>273944</v>
      </c>
      <c r="L1606" s="7">
        <f>ROUND(0.0000952072966015248,4)</f>
        <v>1E-4</v>
      </c>
    </row>
    <row r="1607" spans="1:12">
      <c r="A1607" s="3" t="s">
        <v>3321</v>
      </c>
      <c r="B1607" s="4" t="s">
        <v>3322</v>
      </c>
      <c r="C1607" s="4" t="s">
        <v>534</v>
      </c>
      <c r="D1607" s="4" t="s">
        <v>489</v>
      </c>
      <c r="E1607" s="4" t="s">
        <v>490</v>
      </c>
      <c r="F1607" s="4" t="s">
        <v>45</v>
      </c>
      <c r="G1607" s="4" t="s">
        <v>408</v>
      </c>
      <c r="H1607" s="5">
        <f>ROUND(1900,0)</f>
        <v>1900</v>
      </c>
      <c r="I1607" s="6">
        <f>ROUND(1711,2)</f>
        <v>1711</v>
      </c>
      <c r="J1607" s="6">
        <f>ROUND(8.407077,2)</f>
        <v>8.41</v>
      </c>
      <c r="K1607" s="5">
        <f>ROUND(273305.67,0)</f>
        <v>273306</v>
      </c>
      <c r="L1607" s="7">
        <f>ROUND(0.0000949853836526646,4)</f>
        <v>1E-4</v>
      </c>
    </row>
    <row r="1608" spans="1:12">
      <c r="A1608" s="3" t="s">
        <v>3323</v>
      </c>
      <c r="B1608" s="4" t="s">
        <v>3324</v>
      </c>
      <c r="C1608" s="4" t="s">
        <v>493</v>
      </c>
      <c r="D1608" s="4" t="s">
        <v>395</v>
      </c>
      <c r="E1608" s="4" t="s">
        <v>396</v>
      </c>
      <c r="F1608" s="4" t="s">
        <v>397</v>
      </c>
      <c r="G1608" s="4" t="s">
        <v>408</v>
      </c>
      <c r="H1608" s="5">
        <f>ROUND(2516,0)</f>
        <v>2516</v>
      </c>
      <c r="I1608" s="6">
        <f>ROUND(49.6,2)</f>
        <v>49.6</v>
      </c>
      <c r="J1608" s="6">
        <f>ROUND(2.18129969,2)</f>
        <v>2.1800000000000002</v>
      </c>
      <c r="K1608" s="5">
        <f>ROUND(272212.24,0)</f>
        <v>272212</v>
      </c>
      <c r="L1608" s="7">
        <f>ROUND(0.0000946053700655066,4)</f>
        <v>1E-4</v>
      </c>
    </row>
    <row r="1609" spans="1:12">
      <c r="A1609" s="3" t="s">
        <v>3325</v>
      </c>
      <c r="B1609" s="4" t="s">
        <v>3326</v>
      </c>
      <c r="C1609" s="4" t="s">
        <v>406</v>
      </c>
      <c r="D1609" s="4" t="s">
        <v>407</v>
      </c>
      <c r="E1609" s="4" t="s">
        <v>35</v>
      </c>
      <c r="F1609" s="4" t="s">
        <v>21</v>
      </c>
      <c r="G1609" s="4" t="s">
        <v>408</v>
      </c>
      <c r="H1609" s="5">
        <f>ROUND(490,0)</f>
        <v>490</v>
      </c>
      <c r="I1609" s="6">
        <f>ROUND(61.06,2)</f>
        <v>61.06</v>
      </c>
      <c r="J1609" s="6">
        <f>ROUND(9.08595,2)</f>
        <v>9.09</v>
      </c>
      <c r="K1609" s="5">
        <f>ROUND(271846.17,0)</f>
        <v>271846</v>
      </c>
      <c r="L1609" s="7">
        <f>ROUND(0.0000944781451184584,4)</f>
        <v>1E-4</v>
      </c>
    </row>
    <row r="1610" spans="1:12">
      <c r="A1610" s="3" t="s">
        <v>3327</v>
      </c>
      <c r="B1610" s="4" t="s">
        <v>3328</v>
      </c>
      <c r="C1610" s="4" t="s">
        <v>445</v>
      </c>
      <c r="D1610" s="4" t="s">
        <v>771</v>
      </c>
      <c r="E1610" s="4" t="s">
        <v>772</v>
      </c>
      <c r="F1610" s="4" t="s">
        <v>18</v>
      </c>
      <c r="G1610" s="4" t="s">
        <v>408</v>
      </c>
      <c r="H1610" s="5">
        <f>ROUND(696,0)</f>
        <v>696</v>
      </c>
      <c r="I1610" s="6">
        <f>ROUND(39.36,2)</f>
        <v>39.36</v>
      </c>
      <c r="J1610" s="6">
        <f>ROUND(9.9055,2)</f>
        <v>9.91</v>
      </c>
      <c r="K1610" s="5">
        <f>ROUND(271356.81,0)</f>
        <v>271357</v>
      </c>
      <c r="L1610" s="7">
        <f>ROUND(0.0000943080716350057,4)</f>
        <v>1E-4</v>
      </c>
    </row>
    <row r="1611" spans="1:12">
      <c r="A1611" s="3" t="s">
        <v>3329</v>
      </c>
      <c r="B1611" s="4" t="s">
        <v>3330</v>
      </c>
      <c r="C1611" s="4" t="s">
        <v>389</v>
      </c>
      <c r="D1611" s="4" t="s">
        <v>3331</v>
      </c>
      <c r="E1611" s="4" t="s">
        <v>3332</v>
      </c>
      <c r="F1611" s="4" t="s">
        <v>21</v>
      </c>
      <c r="G1611" s="4" t="s">
        <v>408</v>
      </c>
      <c r="H1611" s="5">
        <f>ROUND(900,0)</f>
        <v>900</v>
      </c>
      <c r="I1611" s="6">
        <f>ROUND(33.16,2)</f>
        <v>33.159999999999997</v>
      </c>
      <c r="J1611" s="6">
        <f>ROUND(9.08595,2)</f>
        <v>9.09</v>
      </c>
      <c r="K1611" s="5">
        <f>ROUND(271161.09,0)</f>
        <v>271161</v>
      </c>
      <c r="L1611" s="7">
        <f>ROUND(0.0000942400505826488,4)</f>
        <v>1E-4</v>
      </c>
    </row>
    <row r="1612" spans="1:12">
      <c r="A1612" s="3" t="s">
        <v>3333</v>
      </c>
      <c r="B1612" s="4" t="s">
        <v>3334</v>
      </c>
      <c r="C1612" s="4" t="s">
        <v>406</v>
      </c>
      <c r="D1612" s="4" t="s">
        <v>407</v>
      </c>
      <c r="E1612" s="4" t="s">
        <v>35</v>
      </c>
      <c r="F1612" s="4" t="s">
        <v>21</v>
      </c>
      <c r="G1612" s="4" t="s">
        <v>408</v>
      </c>
      <c r="H1612" s="5">
        <f>ROUND(400,0)</f>
        <v>400</v>
      </c>
      <c r="I1612" s="6">
        <f>ROUND(74.58,2)</f>
        <v>74.58</v>
      </c>
      <c r="J1612" s="6">
        <f>ROUND(9.08595,2)</f>
        <v>9.09</v>
      </c>
      <c r="K1612" s="5">
        <f>ROUND(271052.06,0)</f>
        <v>271052</v>
      </c>
      <c r="L1612" s="7">
        <f>ROUND(0.0000942021580047903,4)</f>
        <v>1E-4</v>
      </c>
    </row>
    <row r="1613" spans="1:12">
      <c r="A1613" s="3" t="s">
        <v>3335</v>
      </c>
      <c r="B1613" s="4" t="s">
        <v>3336</v>
      </c>
      <c r="C1613" s="4" t="s">
        <v>445</v>
      </c>
      <c r="D1613" s="4" t="s">
        <v>789</v>
      </c>
      <c r="E1613" s="4" t="s">
        <v>790</v>
      </c>
      <c r="F1613" s="4" t="s">
        <v>791</v>
      </c>
      <c r="G1613" s="4" t="s">
        <v>408</v>
      </c>
      <c r="H1613" s="5">
        <f>ROUND(782,0)</f>
        <v>782</v>
      </c>
      <c r="I1613" s="6">
        <f>ROUND(2702.25,2)</f>
        <v>2702.25</v>
      </c>
      <c r="J1613" s="6">
        <f>ROUND(0.12820804,2)</f>
        <v>0.13</v>
      </c>
      <c r="K1613" s="5">
        <f>ROUND(270924.04,0)</f>
        <v>270924</v>
      </c>
      <c r="L1613" s="7">
        <f>ROUND(0.000094157665591533,4)</f>
        <v>1E-4</v>
      </c>
    </row>
    <row r="1614" spans="1:12">
      <c r="A1614" s="3" t="s">
        <v>3337</v>
      </c>
      <c r="B1614" s="4" t="s">
        <v>3338</v>
      </c>
      <c r="C1614" s="4" t="s">
        <v>400</v>
      </c>
      <c r="D1614" s="4" t="s">
        <v>489</v>
      </c>
      <c r="E1614" s="4" t="s">
        <v>490</v>
      </c>
      <c r="F1614" s="4" t="s">
        <v>45</v>
      </c>
      <c r="G1614" s="4" t="s">
        <v>408</v>
      </c>
      <c r="H1614" s="5">
        <f>ROUND(4000,0)</f>
        <v>4000</v>
      </c>
      <c r="I1614" s="6">
        <f>ROUND(805,2)</f>
        <v>805</v>
      </c>
      <c r="J1614" s="6">
        <f>ROUND(8.407077,2)</f>
        <v>8.41</v>
      </c>
      <c r="K1614" s="5">
        <f>ROUND(270707.88,0)</f>
        <v>270708</v>
      </c>
      <c r="L1614" s="7">
        <f>ROUND(0.0000940825407668985,4)</f>
        <v>1E-4</v>
      </c>
    </row>
    <row r="1615" spans="1:12">
      <c r="A1615" s="3" t="s">
        <v>3339</v>
      </c>
      <c r="B1615" s="4" t="s">
        <v>3340</v>
      </c>
      <c r="C1615" s="4" t="s">
        <v>534</v>
      </c>
      <c r="D1615" s="4" t="s">
        <v>520</v>
      </c>
      <c r="E1615" s="4" t="s">
        <v>521</v>
      </c>
      <c r="F1615" s="4" t="s">
        <v>18</v>
      </c>
      <c r="G1615" s="4" t="s">
        <v>408</v>
      </c>
      <c r="H1615" s="5">
        <f>ROUND(1236,0)</f>
        <v>1236</v>
      </c>
      <c r="I1615" s="6">
        <f>ROUND(22.1,2)</f>
        <v>22.1</v>
      </c>
      <c r="J1615" s="6">
        <f>ROUND(9.9055,2)</f>
        <v>9.91</v>
      </c>
      <c r="K1615" s="5">
        <f>ROUND(270574.68,0)</f>
        <v>270575</v>
      </c>
      <c r="L1615" s="7">
        <f>ROUND(0.0000940362480825845,4)</f>
        <v>1E-4</v>
      </c>
    </row>
    <row r="1616" spans="1:12">
      <c r="A1616" s="3" t="s">
        <v>3341</v>
      </c>
      <c r="B1616" s="4" t="s">
        <v>3342</v>
      </c>
      <c r="C1616" s="4" t="s">
        <v>430</v>
      </c>
      <c r="D1616" s="4" t="s">
        <v>407</v>
      </c>
      <c r="E1616" s="4" t="s">
        <v>35</v>
      </c>
      <c r="F1616" s="4" t="s">
        <v>21</v>
      </c>
      <c r="G1616" s="4" t="s">
        <v>408</v>
      </c>
      <c r="H1616" s="5">
        <f>ROUND(1400,0)</f>
        <v>1400</v>
      </c>
      <c r="I1616" s="6">
        <f>ROUND(21.23,2)</f>
        <v>21.23</v>
      </c>
      <c r="J1616" s="6">
        <f>ROUND(9.08595,2)</f>
        <v>9.09</v>
      </c>
      <c r="K1616" s="5">
        <f>ROUND(270052.61,0)</f>
        <v>270053</v>
      </c>
      <c r="L1616" s="7">
        <f>ROUND(0.0000938548064782316,4)</f>
        <v>1E-4</v>
      </c>
    </row>
    <row r="1617" spans="1:12">
      <c r="A1617" s="3" t="s">
        <v>3343</v>
      </c>
      <c r="B1617" s="4" t="s">
        <v>3344</v>
      </c>
      <c r="C1617" s="4" t="s">
        <v>534</v>
      </c>
      <c r="D1617" s="4" t="s">
        <v>407</v>
      </c>
      <c r="E1617" s="4" t="s">
        <v>35</v>
      </c>
      <c r="F1617" s="4" t="s">
        <v>21</v>
      </c>
      <c r="G1617" s="4" t="s">
        <v>408</v>
      </c>
      <c r="H1617" s="5">
        <f>ROUND(1100,0)</f>
        <v>1100</v>
      </c>
      <c r="I1617" s="6">
        <f>ROUND(26.97,2)</f>
        <v>26.97</v>
      </c>
      <c r="J1617" s="6">
        <f>ROUND(9.08595,2)</f>
        <v>9.09</v>
      </c>
      <c r="K1617" s="5">
        <f>ROUND(269552.88,0)</f>
        <v>269553</v>
      </c>
      <c r="L1617" s="7">
        <f>ROUND(0.0000936811289772388,4)</f>
        <v>1E-4</v>
      </c>
    </row>
    <row r="1618" spans="1:12">
      <c r="A1618" s="3" t="s">
        <v>3345</v>
      </c>
      <c r="B1618" s="4" t="s">
        <v>3346</v>
      </c>
      <c r="C1618" s="4" t="s">
        <v>493</v>
      </c>
      <c r="D1618" s="4" t="s">
        <v>1217</v>
      </c>
      <c r="E1618" s="4" t="s">
        <v>1218</v>
      </c>
      <c r="F1618" s="4" t="s">
        <v>26</v>
      </c>
      <c r="G1618" s="4" t="s">
        <v>408</v>
      </c>
      <c r="H1618" s="5">
        <f>ROUND(6000,0)</f>
        <v>6000</v>
      </c>
      <c r="I1618" s="6">
        <f>ROUND(38.75,2)</f>
        <v>38.75</v>
      </c>
      <c r="J1618" s="6">
        <f>ROUND(1.15901246,2)</f>
        <v>1.1599999999999999</v>
      </c>
      <c r="K1618" s="5">
        <f>ROUND(269470.4,0)</f>
        <v>269470</v>
      </c>
      <c r="L1618" s="7">
        <f>ROUND(0.0000936524636574024,4)</f>
        <v>1E-4</v>
      </c>
    </row>
    <row r="1619" spans="1:12">
      <c r="A1619" s="3" t="s">
        <v>3347</v>
      </c>
      <c r="B1619" s="4" t="s">
        <v>3348</v>
      </c>
      <c r="C1619" s="4" t="s">
        <v>406</v>
      </c>
      <c r="D1619" s="4" t="s">
        <v>407</v>
      </c>
      <c r="E1619" s="4" t="s">
        <v>35</v>
      </c>
      <c r="F1619" s="4" t="s">
        <v>21</v>
      </c>
      <c r="G1619" s="4" t="s">
        <v>408</v>
      </c>
      <c r="H1619" s="5">
        <f>ROUND(400,0)</f>
        <v>400</v>
      </c>
      <c r="I1619" s="6">
        <f>ROUND(74.14,2)</f>
        <v>74.14</v>
      </c>
      <c r="J1619" s="6">
        <f>ROUND(9.08595,2)</f>
        <v>9.09</v>
      </c>
      <c r="K1619" s="5">
        <f>ROUND(269452.93,0)</f>
        <v>269453</v>
      </c>
      <c r="L1619" s="7">
        <f>ROUND(0.0000936463920868696,4)</f>
        <v>1E-4</v>
      </c>
    </row>
    <row r="1620" spans="1:12">
      <c r="A1620" s="3" t="s">
        <v>3349</v>
      </c>
      <c r="B1620" s="4" t="s">
        <v>3350</v>
      </c>
      <c r="C1620" s="4" t="s">
        <v>566</v>
      </c>
      <c r="D1620" s="4" t="s">
        <v>489</v>
      </c>
      <c r="E1620" s="4" t="s">
        <v>490</v>
      </c>
      <c r="F1620" s="4" t="s">
        <v>45</v>
      </c>
      <c r="G1620" s="4" t="s">
        <v>408</v>
      </c>
      <c r="H1620" s="5">
        <f>ROUND(14,0)</f>
        <v>14</v>
      </c>
      <c r="I1620" s="6">
        <f>ROUND(228600,2)</f>
        <v>228600</v>
      </c>
      <c r="J1620" s="6">
        <f>ROUND(8.407077,2)</f>
        <v>8.41</v>
      </c>
      <c r="K1620" s="5">
        <f>ROUND(269060.09,0)</f>
        <v>269060</v>
      </c>
      <c r="L1620" s="7">
        <f>ROUND(0.0000935098634224108,4)</f>
        <v>1E-4</v>
      </c>
    </row>
    <row r="1621" spans="1:12">
      <c r="A1621" s="3" t="s">
        <v>3351</v>
      </c>
      <c r="B1621" s="4" t="s">
        <v>3352</v>
      </c>
      <c r="C1621" s="4" t="s">
        <v>422</v>
      </c>
      <c r="D1621" s="4" t="s">
        <v>1024</v>
      </c>
      <c r="E1621" s="4" t="s">
        <v>1025</v>
      </c>
      <c r="F1621" s="4" t="s">
        <v>1026</v>
      </c>
      <c r="G1621" s="4" t="s">
        <v>408</v>
      </c>
      <c r="H1621" s="5">
        <f>ROUND(640,0)</f>
        <v>640</v>
      </c>
      <c r="I1621" s="6">
        <f>ROUND(454.8,2)</f>
        <v>454.8</v>
      </c>
      <c r="J1621" s="6">
        <f>ROUND(0.92410673,2)</f>
        <v>0.92</v>
      </c>
      <c r="K1621" s="5">
        <f>ROUND(268981.59,0)</f>
        <v>268982</v>
      </c>
      <c r="L1621" s="7">
        <f>ROUND(0.000093482581322421,4)</f>
        <v>1E-4</v>
      </c>
    </row>
    <row r="1622" spans="1:12">
      <c r="A1622" s="3" t="s">
        <v>3353</v>
      </c>
      <c r="B1622" s="4" t="s">
        <v>3354</v>
      </c>
      <c r="C1622" s="4" t="s">
        <v>415</v>
      </c>
      <c r="D1622" s="4" t="s">
        <v>514</v>
      </c>
      <c r="E1622" s="4" t="s">
        <v>515</v>
      </c>
      <c r="F1622" s="4" t="s">
        <v>190</v>
      </c>
      <c r="G1622" s="4" t="s">
        <v>408</v>
      </c>
      <c r="H1622" s="5">
        <f>ROUND(1500,0)</f>
        <v>1500</v>
      </c>
      <c r="I1622" s="6">
        <f>ROUND(26.03,2)</f>
        <v>26.03</v>
      </c>
      <c r="J1622" s="6">
        <f>ROUND(6.86237833,2)</f>
        <v>6.86</v>
      </c>
      <c r="K1622" s="5">
        <f>ROUND(267941.56,0)</f>
        <v>267942</v>
      </c>
      <c r="L1622" s="7">
        <f>ROUND(0.0000931211265141095,4)</f>
        <v>1E-4</v>
      </c>
    </row>
    <row r="1623" spans="1:12">
      <c r="A1623" s="3" t="s">
        <v>3355</v>
      </c>
      <c r="B1623" s="4" t="s">
        <v>3356</v>
      </c>
      <c r="C1623" s="4" t="s">
        <v>534</v>
      </c>
      <c r="D1623" s="4" t="s">
        <v>1111</v>
      </c>
      <c r="E1623" s="4" t="s">
        <v>1112</v>
      </c>
      <c r="F1623" s="4" t="s">
        <v>18</v>
      </c>
      <c r="G1623" s="4" t="s">
        <v>408</v>
      </c>
      <c r="H1623" s="5">
        <f>ROUND(788,0)</f>
        <v>788</v>
      </c>
      <c r="I1623" s="6">
        <f>ROUND(34.27,2)</f>
        <v>34.270000000000003</v>
      </c>
      <c r="J1623" s="6">
        <f>ROUND(9.9055,2)</f>
        <v>9.91</v>
      </c>
      <c r="K1623" s="5">
        <f>ROUND(267495.65,0)</f>
        <v>267496</v>
      </c>
      <c r="L1623" s="7">
        <f>ROUND(0.0000929661537598869,4)</f>
        <v>1E-4</v>
      </c>
    </row>
    <row r="1624" spans="1:12">
      <c r="A1624" s="3" t="s">
        <v>3357</v>
      </c>
      <c r="B1624" s="4" t="s">
        <v>3358</v>
      </c>
      <c r="C1624" s="4" t="s">
        <v>430</v>
      </c>
      <c r="D1624" s="4" t="s">
        <v>486</v>
      </c>
      <c r="E1624" s="4" t="s">
        <v>30</v>
      </c>
      <c r="F1624" s="4" t="s">
        <v>20</v>
      </c>
      <c r="G1624" s="4" t="s">
        <v>408</v>
      </c>
      <c r="H1624" s="5">
        <f>ROUND(6284,0)</f>
        <v>6284</v>
      </c>
      <c r="I1624" s="6">
        <f>ROUND(379.9,2)</f>
        <v>379.9</v>
      </c>
      <c r="J1624" s="6">
        <f>ROUND(11.19645077,2)</f>
        <v>11.2</v>
      </c>
      <c r="K1624" s="5">
        <f>ROUND(267291.97,0)</f>
        <v>267292</v>
      </c>
      <c r="L1624" s="7">
        <f>ROUND(0.0000928953662678368,4)</f>
        <v>1E-4</v>
      </c>
    </row>
    <row r="1625" spans="1:12">
      <c r="A1625" s="3" t="s">
        <v>3359</v>
      </c>
      <c r="B1625" s="4" t="s">
        <v>3360</v>
      </c>
      <c r="C1625" s="4" t="s">
        <v>400</v>
      </c>
      <c r="D1625" s="4" t="s">
        <v>655</v>
      </c>
      <c r="E1625" s="4" t="s">
        <v>656</v>
      </c>
      <c r="F1625" s="4" t="s">
        <v>26</v>
      </c>
      <c r="G1625" s="4" t="s">
        <v>408</v>
      </c>
      <c r="H1625" s="5">
        <f>ROUND(43200,0)</f>
        <v>43200</v>
      </c>
      <c r="I1625" s="6">
        <f>ROUND(5.33,2)</f>
        <v>5.33</v>
      </c>
      <c r="J1625" s="6">
        <f>ROUND(1.15901246,2)</f>
        <v>1.1599999999999999</v>
      </c>
      <c r="K1625" s="5">
        <f>ROUND(266869.57,0)</f>
        <v>266870</v>
      </c>
      <c r="L1625" s="7">
        <f>ROUND(0.0000927485642419041,4)</f>
        <v>1E-4</v>
      </c>
    </row>
    <row r="1626" spans="1:12">
      <c r="A1626" s="3" t="s">
        <v>3361</v>
      </c>
      <c r="B1626" s="4" t="s">
        <v>3362</v>
      </c>
      <c r="C1626" s="4" t="s">
        <v>389</v>
      </c>
      <c r="D1626" s="4" t="s">
        <v>407</v>
      </c>
      <c r="E1626" s="4" t="s">
        <v>35</v>
      </c>
      <c r="F1626" s="4" t="s">
        <v>21</v>
      </c>
      <c r="G1626" s="4" t="s">
        <v>408</v>
      </c>
      <c r="H1626" s="5">
        <f>ROUND(2037,0)</f>
        <v>2037</v>
      </c>
      <c r="I1626" s="6">
        <f>ROUND(14.405,2)</f>
        <v>14.41</v>
      </c>
      <c r="J1626" s="6">
        <f>ROUND(9.08595,2)</f>
        <v>9.09</v>
      </c>
      <c r="K1626" s="5">
        <f>ROUND(266608.94,0)</f>
        <v>266609</v>
      </c>
      <c r="L1626" s="7">
        <f>ROUND(0.000092657984194511,4)</f>
        <v>1E-4</v>
      </c>
    </row>
    <row r="1627" spans="1:12">
      <c r="A1627" s="3" t="s">
        <v>3363</v>
      </c>
      <c r="B1627" s="4" t="s">
        <v>3364</v>
      </c>
      <c r="C1627" s="4" t="s">
        <v>389</v>
      </c>
      <c r="D1627" s="4" t="s">
        <v>456</v>
      </c>
      <c r="E1627" s="4" t="s">
        <v>457</v>
      </c>
      <c r="F1627" s="4" t="s">
        <v>21</v>
      </c>
      <c r="G1627" s="4" t="s">
        <v>408</v>
      </c>
      <c r="H1627" s="5">
        <f>ROUND(1500,0)</f>
        <v>1500</v>
      </c>
      <c r="I1627" s="6">
        <f>ROUND(19.41,2)</f>
        <v>19.41</v>
      </c>
      <c r="J1627" s="6">
        <f>ROUND(9.08595,2)</f>
        <v>9.09</v>
      </c>
      <c r="K1627" s="5">
        <f>ROUND(264537.43,0)</f>
        <v>264537</v>
      </c>
      <c r="L1627" s="7">
        <f>ROUND(0.0000919380460677597,4)</f>
        <v>1E-4</v>
      </c>
    </row>
    <row r="1628" spans="1:12">
      <c r="A1628" s="3" t="s">
        <v>3365</v>
      </c>
      <c r="B1628" s="4" t="s">
        <v>3366</v>
      </c>
      <c r="C1628" s="4" t="s">
        <v>389</v>
      </c>
      <c r="D1628" s="4" t="s">
        <v>789</v>
      </c>
      <c r="E1628" s="4" t="s">
        <v>790</v>
      </c>
      <c r="F1628" s="4" t="s">
        <v>791</v>
      </c>
      <c r="G1628" s="4" t="s">
        <v>408</v>
      </c>
      <c r="H1628" s="5">
        <f>ROUND(17540,0)</f>
        <v>17540</v>
      </c>
      <c r="I1628" s="6">
        <f>ROUND(117.45,2)</f>
        <v>117.45</v>
      </c>
      <c r="J1628" s="6">
        <f>ROUND(0.12820804,2)</f>
        <v>0.13</v>
      </c>
      <c r="K1628" s="5">
        <f>ROUND(264117.92,0)</f>
        <v>264118</v>
      </c>
      <c r="L1628" s="7">
        <f>ROUND(0.0000917922484401578,4)</f>
        <v>1E-4</v>
      </c>
    </row>
    <row r="1629" spans="1:12">
      <c r="A1629" s="3" t="s">
        <v>3367</v>
      </c>
      <c r="B1629" s="4" t="s">
        <v>3368</v>
      </c>
      <c r="C1629" s="4" t="s">
        <v>389</v>
      </c>
      <c r="D1629" s="4" t="s">
        <v>489</v>
      </c>
      <c r="E1629" s="4" t="s">
        <v>490</v>
      </c>
      <c r="F1629" s="4" t="s">
        <v>45</v>
      </c>
      <c r="G1629" s="4" t="s">
        <v>408</v>
      </c>
      <c r="H1629" s="5">
        <f>ROUND(600,0)</f>
        <v>600</v>
      </c>
      <c r="I1629" s="6">
        <f>ROUND(5230,2)</f>
        <v>5230</v>
      </c>
      <c r="J1629" s="6">
        <f>ROUND(8.407077,2)</f>
        <v>8.41</v>
      </c>
      <c r="K1629" s="5">
        <f>ROUND(263814.08,0)</f>
        <v>263814</v>
      </c>
      <c r="L1629" s="7">
        <f>ROUND(0.0000916866510737767,4)</f>
        <v>1E-4</v>
      </c>
    </row>
    <row r="1630" spans="1:12">
      <c r="A1630" s="3" t="s">
        <v>3369</v>
      </c>
      <c r="B1630" s="4" t="s">
        <v>3370</v>
      </c>
      <c r="C1630" s="4" t="s">
        <v>534</v>
      </c>
      <c r="D1630" s="4" t="s">
        <v>489</v>
      </c>
      <c r="E1630" s="4" t="s">
        <v>490</v>
      </c>
      <c r="F1630" s="4" t="s">
        <v>45</v>
      </c>
      <c r="G1630" s="4" t="s">
        <v>408</v>
      </c>
      <c r="H1630" s="5">
        <f>ROUND(900,0)</f>
        <v>900</v>
      </c>
      <c r="I1630" s="6">
        <f>ROUND(3485,2)</f>
        <v>3485</v>
      </c>
      <c r="J1630" s="6">
        <f>ROUND(8.407077,2)</f>
        <v>8.41</v>
      </c>
      <c r="K1630" s="5">
        <f>ROUND(263687.97,0)</f>
        <v>263688</v>
      </c>
      <c r="L1630" s="7">
        <f>ROUND(0.0000916428224670287,4)</f>
        <v>1E-4</v>
      </c>
    </row>
    <row r="1631" spans="1:12">
      <c r="A1631" s="3" t="s">
        <v>3371</v>
      </c>
      <c r="B1631" s="4" t="s">
        <v>3372</v>
      </c>
      <c r="C1631" s="4" t="s">
        <v>400</v>
      </c>
      <c r="D1631" s="4" t="s">
        <v>1024</v>
      </c>
      <c r="E1631" s="4" t="s">
        <v>1025</v>
      </c>
      <c r="F1631" s="4" t="s">
        <v>1026</v>
      </c>
      <c r="G1631" s="4" t="s">
        <v>408</v>
      </c>
      <c r="H1631" s="5">
        <f>ROUND(770,0)</f>
        <v>770</v>
      </c>
      <c r="I1631" s="6">
        <f>ROUND(370.4,2)</f>
        <v>370.4</v>
      </c>
      <c r="J1631" s="6">
        <f>ROUND(0.92410673,2)</f>
        <v>0.92</v>
      </c>
      <c r="K1631" s="5">
        <f>ROUND(263562.63,0)</f>
        <v>263563</v>
      </c>
      <c r="L1631" s="7">
        <f>ROUND(0.0000915992614681404,4)</f>
        <v>1E-4</v>
      </c>
    </row>
    <row r="1632" spans="1:12">
      <c r="A1632" s="3" t="s">
        <v>3373</v>
      </c>
      <c r="B1632" s="4" t="s">
        <v>3374</v>
      </c>
      <c r="C1632" s="4" t="s">
        <v>534</v>
      </c>
      <c r="D1632" s="4" t="s">
        <v>1652</v>
      </c>
      <c r="E1632" s="4" t="s">
        <v>1653</v>
      </c>
      <c r="F1632" s="4" t="s">
        <v>22</v>
      </c>
      <c r="G1632" s="4" t="s">
        <v>408</v>
      </c>
      <c r="H1632" s="5">
        <f>ROUND(20730,0)</f>
        <v>20730</v>
      </c>
      <c r="I1632" s="6">
        <f>ROUND(72.5,2)</f>
        <v>72.5</v>
      </c>
      <c r="J1632" s="6">
        <f>ROUND(0.17530276,2)</f>
        <v>0.18</v>
      </c>
      <c r="K1632" s="5">
        <f>ROUND(263466.9,0)</f>
        <v>263467</v>
      </c>
      <c r="L1632" s="7">
        <f>ROUND(0.0000915659912078598,4)</f>
        <v>1E-4</v>
      </c>
    </row>
    <row r="1633" spans="1:12">
      <c r="A1633" s="3" t="s">
        <v>3375</v>
      </c>
      <c r="B1633" s="4" t="s">
        <v>3376</v>
      </c>
      <c r="C1633" s="4" t="s">
        <v>415</v>
      </c>
      <c r="D1633" s="4" t="s">
        <v>489</v>
      </c>
      <c r="E1633" s="4" t="s">
        <v>490</v>
      </c>
      <c r="F1633" s="4" t="s">
        <v>45</v>
      </c>
      <c r="G1633" s="4" t="s">
        <v>408</v>
      </c>
      <c r="H1633" s="5">
        <f>ROUND(600,0)</f>
        <v>600</v>
      </c>
      <c r="I1633" s="6">
        <f>ROUND(5220,2)</f>
        <v>5220</v>
      </c>
      <c r="J1633" s="6">
        <f>ROUND(8.407077,2)</f>
        <v>8.41</v>
      </c>
      <c r="K1633" s="5">
        <f>ROUND(263309.65,0)</f>
        <v>263310</v>
      </c>
      <c r="L1633" s="7">
        <f>ROUND(0.0000915113401222113,4)</f>
        <v>1E-4</v>
      </c>
    </row>
    <row r="1634" spans="1:12">
      <c r="A1634" s="3" t="s">
        <v>3377</v>
      </c>
      <c r="B1634" s="4" t="s">
        <v>3378</v>
      </c>
      <c r="C1634" s="4" t="s">
        <v>406</v>
      </c>
      <c r="D1634" s="4" t="s">
        <v>520</v>
      </c>
      <c r="E1634" s="4" t="s">
        <v>521</v>
      </c>
      <c r="F1634" s="4" t="s">
        <v>18</v>
      </c>
      <c r="G1634" s="4" t="s">
        <v>408</v>
      </c>
      <c r="H1634" s="5">
        <f>ROUND(297,0)</f>
        <v>297</v>
      </c>
      <c r="I1634" s="6">
        <f>ROUND(89.5,2)</f>
        <v>89.5</v>
      </c>
      <c r="J1634" s="6">
        <f>ROUND(9.9055,2)</f>
        <v>9.91</v>
      </c>
      <c r="K1634" s="5">
        <f>ROUND(263303.05,0)</f>
        <v>263303</v>
      </c>
      <c r="L1634" s="7">
        <f>ROUND(0.0000915090463405561,4)</f>
        <v>1E-4</v>
      </c>
    </row>
    <row r="1635" spans="1:12">
      <c r="A1635" s="3" t="s">
        <v>3379</v>
      </c>
      <c r="B1635" s="4" t="s">
        <v>3380</v>
      </c>
      <c r="C1635" s="4" t="s">
        <v>534</v>
      </c>
      <c r="D1635" s="4" t="s">
        <v>655</v>
      </c>
      <c r="E1635" s="4" t="s">
        <v>656</v>
      </c>
      <c r="F1635" s="4" t="s">
        <v>26</v>
      </c>
      <c r="G1635" s="4" t="s">
        <v>408</v>
      </c>
      <c r="H1635" s="5">
        <f>ROUND(37000,0)</f>
        <v>37000</v>
      </c>
      <c r="I1635" s="6">
        <f>ROUND(6.13,2)</f>
        <v>6.13</v>
      </c>
      <c r="J1635" s="6">
        <f>ROUND(1.15901246,2)</f>
        <v>1.1599999999999999</v>
      </c>
      <c r="K1635" s="5">
        <f>ROUND(262875.62,0)</f>
        <v>262876</v>
      </c>
      <c r="L1635" s="7">
        <f>ROUND(0.0000913604961749681,4)</f>
        <v>1E-4</v>
      </c>
    </row>
    <row r="1636" spans="1:12">
      <c r="A1636" s="3" t="s">
        <v>3381</v>
      </c>
      <c r="B1636" s="4" t="s">
        <v>3382</v>
      </c>
      <c r="C1636" s="4" t="s">
        <v>534</v>
      </c>
      <c r="D1636" s="4" t="s">
        <v>766</v>
      </c>
      <c r="E1636" s="4" t="s">
        <v>767</v>
      </c>
      <c r="F1636" s="4" t="s">
        <v>768</v>
      </c>
      <c r="G1636" s="4" t="s">
        <v>408</v>
      </c>
      <c r="H1636" s="5">
        <f>ROUND(11800,0)</f>
        <v>11800</v>
      </c>
      <c r="I1636" s="6">
        <f>ROUND(74.75,2)</f>
        <v>74.75</v>
      </c>
      <c r="J1636" s="6">
        <f>ROUND(0.29707172,2)</f>
        <v>0.3</v>
      </c>
      <c r="K1636" s="5">
        <f>ROUND(262032.11,0)</f>
        <v>262032</v>
      </c>
      <c r="L1636" s="7">
        <f>ROUND(0.0000910673404531535,4)</f>
        <v>1E-4</v>
      </c>
    </row>
    <row r="1637" spans="1:12">
      <c r="A1637" s="3" t="s">
        <v>3383</v>
      </c>
      <c r="B1637" s="4" t="s">
        <v>3384</v>
      </c>
      <c r="C1637" s="4" t="s">
        <v>566</v>
      </c>
      <c r="D1637" s="4" t="s">
        <v>486</v>
      </c>
      <c r="E1637" s="4" t="s">
        <v>30</v>
      </c>
      <c r="F1637" s="4" t="s">
        <v>20</v>
      </c>
      <c r="G1637" s="4" t="s">
        <v>408</v>
      </c>
      <c r="H1637" s="5">
        <f>ROUND(3983,0)</f>
        <v>3983</v>
      </c>
      <c r="I1637" s="6">
        <f>ROUND(584.8,2)</f>
        <v>584.79999999999995</v>
      </c>
      <c r="J1637" s="6">
        <f>ROUND(11.19645077,2)</f>
        <v>11.2</v>
      </c>
      <c r="K1637" s="5">
        <f>ROUND(260794.23,0)</f>
        <v>260794</v>
      </c>
      <c r="L1637" s="7">
        <f>ROUND(0.0000906371243265874,4)</f>
        <v>1E-4</v>
      </c>
    </row>
    <row r="1638" spans="1:12">
      <c r="A1638" s="3" t="s">
        <v>3385</v>
      </c>
      <c r="B1638" s="4" t="s">
        <v>3386</v>
      </c>
      <c r="C1638" s="4" t="s">
        <v>389</v>
      </c>
      <c r="D1638" s="4" t="s">
        <v>456</v>
      </c>
      <c r="E1638" s="4" t="s">
        <v>656</v>
      </c>
      <c r="F1638" s="4" t="s">
        <v>26</v>
      </c>
      <c r="G1638" s="4" t="s">
        <v>408</v>
      </c>
      <c r="H1638" s="5">
        <f>ROUND(10000,0)</f>
        <v>10000</v>
      </c>
      <c r="I1638" s="6">
        <f>ROUND(22.5,2)</f>
        <v>22.5</v>
      </c>
      <c r="J1638" s="6">
        <f>ROUND(1.15901246,2)</f>
        <v>1.1599999999999999</v>
      </c>
      <c r="K1638" s="5">
        <f>ROUND(260777.8,0)</f>
        <v>260778</v>
      </c>
      <c r="L1638" s="7">
        <f>ROUND(0.0000906314142004366,4)</f>
        <v>1E-4</v>
      </c>
    </row>
    <row r="1639" spans="1:12">
      <c r="A1639" s="3" t="s">
        <v>3387</v>
      </c>
      <c r="B1639" s="4" t="s">
        <v>3388</v>
      </c>
      <c r="C1639" s="4" t="s">
        <v>534</v>
      </c>
      <c r="D1639" s="4" t="s">
        <v>489</v>
      </c>
      <c r="E1639" s="4" t="s">
        <v>490</v>
      </c>
      <c r="F1639" s="4" t="s">
        <v>45</v>
      </c>
      <c r="G1639" s="4" t="s">
        <v>408</v>
      </c>
      <c r="H1639" s="5">
        <f>ROUND(900,0)</f>
        <v>900</v>
      </c>
      <c r="I1639" s="6">
        <f>ROUND(3445,2)</f>
        <v>3445</v>
      </c>
      <c r="J1639" s="6">
        <f>ROUND(8.407077,2)</f>
        <v>8.41</v>
      </c>
      <c r="K1639" s="5">
        <f>ROUND(260661.42,0)</f>
        <v>260661</v>
      </c>
      <c r="L1639" s="7">
        <f>ROUND(0.0000905909671839167,4)</f>
        <v>1E-4</v>
      </c>
    </row>
    <row r="1640" spans="1:12">
      <c r="A1640" s="3" t="s">
        <v>3389</v>
      </c>
      <c r="B1640" s="4" t="s">
        <v>3390</v>
      </c>
      <c r="C1640" s="4" t="s">
        <v>445</v>
      </c>
      <c r="D1640" s="4" t="s">
        <v>1857</v>
      </c>
      <c r="E1640" s="4" t="s">
        <v>1858</v>
      </c>
      <c r="F1640" s="4" t="s">
        <v>1859</v>
      </c>
      <c r="G1640" s="4" t="s">
        <v>408</v>
      </c>
      <c r="H1640" s="5">
        <f>ROUND(2643,0)</f>
        <v>2643</v>
      </c>
      <c r="I1640" s="6">
        <f>ROUND(17.3,2)</f>
        <v>17.3</v>
      </c>
      <c r="J1640" s="6">
        <f>ROUND(5.69723636,2)</f>
        <v>5.7</v>
      </c>
      <c r="K1640" s="5">
        <f>ROUND(260499.87,0)</f>
        <v>260500</v>
      </c>
      <c r="L1640" s="7">
        <f>ROUND(0.0000905348216647656,4)</f>
        <v>1E-4</v>
      </c>
    </row>
    <row r="1641" spans="1:12">
      <c r="A1641" s="3" t="s">
        <v>3391</v>
      </c>
      <c r="B1641" s="4" t="s">
        <v>3392</v>
      </c>
      <c r="C1641" s="4" t="s">
        <v>400</v>
      </c>
      <c r="D1641" s="4" t="s">
        <v>1822</v>
      </c>
      <c r="E1641" s="4" t="s">
        <v>1823</v>
      </c>
      <c r="F1641" s="4" t="s">
        <v>1824</v>
      </c>
      <c r="G1641" s="4" t="s">
        <v>408</v>
      </c>
      <c r="H1641" s="5">
        <f>ROUND(2316,0)</f>
        <v>2316</v>
      </c>
      <c r="I1641" s="6">
        <f>ROUND(43000,2)</f>
        <v>43000</v>
      </c>
      <c r="J1641" s="6">
        <f>ROUND(0.00261206,2)</f>
        <v>0</v>
      </c>
      <c r="K1641" s="5">
        <f>ROUND(260129.83,0)</f>
        <v>260130</v>
      </c>
      <c r="L1641" s="7">
        <f>ROUND(0.0000904062169732975,4)</f>
        <v>1E-4</v>
      </c>
    </row>
    <row r="1642" spans="1:12">
      <c r="A1642" s="3" t="s">
        <v>3393</v>
      </c>
      <c r="B1642" s="4" t="s">
        <v>3394</v>
      </c>
      <c r="C1642" s="4" t="s">
        <v>534</v>
      </c>
      <c r="D1642" s="4" t="s">
        <v>717</v>
      </c>
      <c r="E1642" s="4" t="s">
        <v>718</v>
      </c>
      <c r="F1642" s="4" t="s">
        <v>175</v>
      </c>
      <c r="G1642" s="4" t="s">
        <v>408</v>
      </c>
      <c r="H1642" s="5">
        <f>ROUND(2266,0)</f>
        <v>2266</v>
      </c>
      <c r="I1642" s="6">
        <f>ROUND(19081,2)</f>
        <v>19081</v>
      </c>
      <c r="J1642" s="6">
        <f>ROUND(0.59923836,2)</f>
        <v>0.6</v>
      </c>
      <c r="K1642" s="5">
        <f>ROUND(259095.96,0)</f>
        <v>259096</v>
      </c>
      <c r="L1642" s="7">
        <f>ROUND(0.0000900469030278642,4)</f>
        <v>1E-4</v>
      </c>
    </row>
    <row r="1643" spans="1:12">
      <c r="A1643" s="3" t="s">
        <v>3395</v>
      </c>
      <c r="B1643" s="4" t="s">
        <v>3396</v>
      </c>
      <c r="C1643" s="4" t="s">
        <v>566</v>
      </c>
      <c r="D1643" s="4" t="s">
        <v>552</v>
      </c>
      <c r="E1643" s="4" t="s">
        <v>553</v>
      </c>
      <c r="F1643" s="4" t="s">
        <v>26</v>
      </c>
      <c r="G1643" s="4" t="s">
        <v>408</v>
      </c>
      <c r="H1643" s="5">
        <f>ROUND(5000,0)</f>
        <v>5000</v>
      </c>
      <c r="I1643" s="6">
        <f>ROUND(44.65,2)</f>
        <v>44.65</v>
      </c>
      <c r="J1643" s="6">
        <f>ROUND(1.15901246,2)</f>
        <v>1.1599999999999999</v>
      </c>
      <c r="K1643" s="5">
        <f>ROUND(258749.53,0)</f>
        <v>258750</v>
      </c>
      <c r="L1643" s="7">
        <f>ROUND(0.0000899265038189536,4)</f>
        <v>1E-4</v>
      </c>
    </row>
    <row r="1644" spans="1:12">
      <c r="A1644" s="3" t="s">
        <v>3397</v>
      </c>
      <c r="B1644" s="4" t="s">
        <v>3398</v>
      </c>
      <c r="C1644" s="4" t="s">
        <v>389</v>
      </c>
      <c r="D1644" s="4" t="s">
        <v>541</v>
      </c>
      <c r="E1644" s="4" t="s">
        <v>542</v>
      </c>
      <c r="F1644" s="4" t="s">
        <v>18</v>
      </c>
      <c r="G1644" s="4" t="s">
        <v>408</v>
      </c>
      <c r="H1644" s="5">
        <f>ROUND(623,0)</f>
        <v>623</v>
      </c>
      <c r="I1644" s="6">
        <f>ROUND(41.88,2)</f>
        <v>41.88</v>
      </c>
      <c r="J1644" s="6">
        <f>ROUND(9.9055,2)</f>
        <v>9.91</v>
      </c>
      <c r="K1644" s="5">
        <f>ROUND(258446.78,0)</f>
        <v>258447</v>
      </c>
      <c r="L1644" s="7">
        <f>ROUND(0.0000898212852740882,4)</f>
        <v>1E-4</v>
      </c>
    </row>
    <row r="1645" spans="1:12">
      <c r="A1645" s="3" t="s">
        <v>3399</v>
      </c>
      <c r="B1645" s="4" t="s">
        <v>3400</v>
      </c>
      <c r="C1645" s="4" t="s">
        <v>445</v>
      </c>
      <c r="D1645" s="4" t="s">
        <v>1333</v>
      </c>
      <c r="E1645" s="4" t="s">
        <v>3</v>
      </c>
      <c r="F1645" s="4" t="s">
        <v>1334</v>
      </c>
      <c r="G1645" s="4" t="s">
        <v>408</v>
      </c>
      <c r="H1645" s="5">
        <f>ROUND(241000,0)</f>
        <v>241000</v>
      </c>
      <c r="I1645" s="6">
        <f>ROUND(1675,2)</f>
        <v>1675</v>
      </c>
      <c r="J1645" s="6">
        <f>ROUND(6.4008,2)</f>
        <v>6.4</v>
      </c>
      <c r="K1645" s="5">
        <f>ROUND(258384.29,0)</f>
        <v>258384</v>
      </c>
      <c r="L1645" s="7">
        <f>ROUND(0.0000897995673323256,4)</f>
        <v>1E-4</v>
      </c>
    </row>
    <row r="1646" spans="1:12">
      <c r="A1646" s="3" t="s">
        <v>3401</v>
      </c>
      <c r="B1646" s="4" t="s">
        <v>3402</v>
      </c>
      <c r="C1646" s="4" t="s">
        <v>415</v>
      </c>
      <c r="D1646" s="4" t="s">
        <v>2447</v>
      </c>
      <c r="E1646" s="4" t="s">
        <v>2448</v>
      </c>
      <c r="F1646" s="4" t="s">
        <v>250</v>
      </c>
      <c r="G1646" s="4" t="s">
        <v>408</v>
      </c>
      <c r="H1646" s="5">
        <f>ROUND(468,0)</f>
        <v>468</v>
      </c>
      <c r="I1646" s="6">
        <f>ROUND(243.4,2)</f>
        <v>243.4</v>
      </c>
      <c r="J1646" s="6">
        <f>ROUND(2.26631585,2)</f>
        <v>2.27</v>
      </c>
      <c r="K1646" s="5">
        <f>ROUND(258158.76,0)</f>
        <v>258159</v>
      </c>
      <c r="L1646" s="7">
        <f>ROUND(0.0000897211860328261,4)</f>
        <v>1E-4</v>
      </c>
    </row>
    <row r="1647" spans="1:12">
      <c r="A1647" s="3" t="s">
        <v>3403</v>
      </c>
      <c r="B1647" s="4" t="s">
        <v>3404</v>
      </c>
      <c r="C1647" s="4" t="s">
        <v>493</v>
      </c>
      <c r="D1647" s="4" t="s">
        <v>2327</v>
      </c>
      <c r="E1647" s="4" t="s">
        <v>2328</v>
      </c>
      <c r="F1647" s="4" t="s">
        <v>18</v>
      </c>
      <c r="G1647" s="4" t="s">
        <v>408</v>
      </c>
      <c r="H1647" s="5">
        <f>ROUND(519,0)</f>
        <v>519</v>
      </c>
      <c r="I1647" s="6">
        <f>ROUND(50.2,2)</f>
        <v>50.2</v>
      </c>
      <c r="J1647" s="6">
        <f>ROUND(9.9055,2)</f>
        <v>9.91</v>
      </c>
      <c r="K1647" s="5">
        <f>ROUND(258075.92,0)</f>
        <v>258076</v>
      </c>
      <c r="L1647" s="7">
        <f>ROUND(0.0000896923955976266,4)</f>
        <v>1E-4</v>
      </c>
    </row>
    <row r="1648" spans="1:12">
      <c r="A1648" s="3" t="s">
        <v>3405</v>
      </c>
      <c r="B1648" s="4" t="s">
        <v>3406</v>
      </c>
      <c r="C1648" s="4" t="s">
        <v>400</v>
      </c>
      <c r="D1648" s="4" t="s">
        <v>2447</v>
      </c>
      <c r="E1648" s="4" t="s">
        <v>2448</v>
      </c>
      <c r="F1648" s="4" t="s">
        <v>250</v>
      </c>
      <c r="G1648" s="4" t="s">
        <v>408</v>
      </c>
      <c r="H1648" s="5">
        <f>ROUND(1110,0)</f>
        <v>1110</v>
      </c>
      <c r="I1648" s="6">
        <f>ROUND(102.4,2)</f>
        <v>102.4</v>
      </c>
      <c r="J1648" s="6">
        <f>ROUND(2.26631585,2)</f>
        <v>2.27</v>
      </c>
      <c r="K1648" s="5">
        <f>ROUND(257598.52,0)</f>
        <v>257599</v>
      </c>
      <c r="L1648" s="7">
        <f>ROUND(0.0000895264787245673,4)</f>
        <v>1E-4</v>
      </c>
    </row>
    <row r="1649" spans="1:12">
      <c r="A1649" s="3" t="s">
        <v>3407</v>
      </c>
      <c r="B1649" s="4" t="s">
        <v>3408</v>
      </c>
      <c r="C1649" s="4" t="s">
        <v>389</v>
      </c>
      <c r="D1649" s="4" t="s">
        <v>407</v>
      </c>
      <c r="E1649" s="4" t="s">
        <v>35</v>
      </c>
      <c r="F1649" s="4" t="s">
        <v>21</v>
      </c>
      <c r="G1649" s="4" t="s">
        <v>408</v>
      </c>
      <c r="H1649" s="5">
        <f>ROUND(1200,0)</f>
        <v>1200</v>
      </c>
      <c r="I1649" s="6">
        <f>ROUND(23.62,2)</f>
        <v>23.62</v>
      </c>
      <c r="J1649" s="6">
        <f>ROUND(9.08595,2)</f>
        <v>9.09</v>
      </c>
      <c r="K1649" s="5">
        <f>ROUND(257532.17,0)</f>
        <v>257532</v>
      </c>
      <c r="L1649" s="7">
        <f>ROUND(0.000089503419268079,4)</f>
        <v>1E-4</v>
      </c>
    </row>
    <row r="1650" spans="1:12">
      <c r="A1650" s="3" t="s">
        <v>3409</v>
      </c>
      <c r="B1650" s="4" t="s">
        <v>3410</v>
      </c>
      <c r="C1650" s="4" t="s">
        <v>534</v>
      </c>
      <c r="D1650" s="4" t="s">
        <v>520</v>
      </c>
      <c r="E1650" s="4" t="s">
        <v>521</v>
      </c>
      <c r="F1650" s="4" t="s">
        <v>18</v>
      </c>
      <c r="G1650" s="4" t="s">
        <v>408</v>
      </c>
      <c r="H1650" s="5">
        <f>ROUND(20,0)</f>
        <v>20</v>
      </c>
      <c r="I1650" s="6">
        <f>ROUND(1298,2)</f>
        <v>1298</v>
      </c>
      <c r="J1650" s="6">
        <f>ROUND(9.9055,2)</f>
        <v>9.91</v>
      </c>
      <c r="K1650" s="5">
        <f>ROUND(257146.78,0)</f>
        <v>257147</v>
      </c>
      <c r="L1650" s="7">
        <f>ROUND(0.0000893694797965492,4)</f>
        <v>1E-4</v>
      </c>
    </row>
    <row r="1651" spans="1:12">
      <c r="A1651" s="3" t="s">
        <v>3411</v>
      </c>
      <c r="B1651" s="4" t="s">
        <v>3412</v>
      </c>
      <c r="C1651" s="4" t="s">
        <v>389</v>
      </c>
      <c r="D1651" s="4" t="s">
        <v>407</v>
      </c>
      <c r="E1651" s="4" t="s">
        <v>35</v>
      </c>
      <c r="F1651" s="4" t="s">
        <v>21</v>
      </c>
      <c r="G1651" s="4" t="s">
        <v>408</v>
      </c>
      <c r="H1651" s="5">
        <f>ROUND(252,0)</f>
        <v>252</v>
      </c>
      <c r="I1651" s="6">
        <f>ROUND(112.12,2)</f>
        <v>112.12</v>
      </c>
      <c r="J1651" s="6">
        <f>ROUND(9.08595,2)</f>
        <v>9.09</v>
      </c>
      <c r="K1651" s="5">
        <f>ROUND(256716.61,0)</f>
        <v>256717</v>
      </c>
      <c r="L1651" s="7">
        <f>ROUND(0.0000892199773640316,4)</f>
        <v>1E-4</v>
      </c>
    </row>
    <row r="1652" spans="1:12">
      <c r="A1652" s="3" t="s">
        <v>3413</v>
      </c>
      <c r="B1652" s="4" t="s">
        <v>3414</v>
      </c>
      <c r="C1652" s="4" t="s">
        <v>430</v>
      </c>
      <c r="D1652" s="4" t="s">
        <v>1024</v>
      </c>
      <c r="E1652" s="4" t="s">
        <v>1025</v>
      </c>
      <c r="F1652" s="4" t="s">
        <v>1026</v>
      </c>
      <c r="G1652" s="4" t="s">
        <v>408</v>
      </c>
      <c r="H1652" s="5">
        <f>ROUND(939,0)</f>
        <v>939</v>
      </c>
      <c r="I1652" s="6">
        <f>ROUND(295.3,2)</f>
        <v>295.3</v>
      </c>
      <c r="J1652" s="6">
        <f>ROUND(0.92410673,2)</f>
        <v>0.92</v>
      </c>
      <c r="K1652" s="5">
        <f>ROUND(256242.51,0)</f>
        <v>256243</v>
      </c>
      <c r="L1652" s="7">
        <f>ROUND(0.0000890552073817999,4)</f>
        <v>1E-4</v>
      </c>
    </row>
    <row r="1653" spans="1:12">
      <c r="A1653" s="3" t="s">
        <v>3415</v>
      </c>
      <c r="B1653" s="4" t="s">
        <v>3416</v>
      </c>
      <c r="C1653" s="4" t="s">
        <v>566</v>
      </c>
      <c r="D1653" s="4" t="s">
        <v>489</v>
      </c>
      <c r="E1653" s="4" t="s">
        <v>490</v>
      </c>
      <c r="F1653" s="4" t="s">
        <v>45</v>
      </c>
      <c r="G1653" s="4" t="s">
        <v>408</v>
      </c>
      <c r="H1653" s="5">
        <f>ROUND(10,0)</f>
        <v>10</v>
      </c>
      <c r="I1653" s="6">
        <f>ROUND(304000,2)</f>
        <v>304000</v>
      </c>
      <c r="J1653" s="6">
        <f>ROUND(8.407077,2)</f>
        <v>8.41</v>
      </c>
      <c r="K1653" s="5">
        <f>ROUND(255575.14,0)</f>
        <v>255575</v>
      </c>
      <c r="L1653" s="7">
        <f>ROUND(0.0000888232678267651,4)</f>
        <v>1E-4</v>
      </c>
    </row>
    <row r="1654" spans="1:12">
      <c r="A1654" s="3" t="s">
        <v>3417</v>
      </c>
      <c r="B1654" s="4" t="s">
        <v>3418</v>
      </c>
      <c r="C1654" s="4" t="s">
        <v>400</v>
      </c>
      <c r="D1654" s="4" t="s">
        <v>723</v>
      </c>
      <c r="E1654" s="4" t="s">
        <v>724</v>
      </c>
      <c r="F1654" s="4" t="s">
        <v>18</v>
      </c>
      <c r="G1654" s="4" t="s">
        <v>408</v>
      </c>
      <c r="H1654" s="5">
        <f>ROUND(28968,0)</f>
        <v>28968</v>
      </c>
      <c r="I1654" s="6">
        <f>ROUND(0.8902,2)</f>
        <v>0.89</v>
      </c>
      <c r="J1654" s="6">
        <f>ROUND(9.9055,2)</f>
        <v>9.91</v>
      </c>
      <c r="K1654" s="5">
        <f>ROUND(255436.2,0)</f>
        <v>255436</v>
      </c>
      <c r="L1654" s="7">
        <f>ROUND(0.0000887749802474964,4)</f>
        <v>1E-4</v>
      </c>
    </row>
    <row r="1655" spans="1:12">
      <c r="A1655" s="3" t="s">
        <v>3419</v>
      </c>
      <c r="B1655" s="4" t="s">
        <v>3420</v>
      </c>
      <c r="C1655" s="4" t="s">
        <v>422</v>
      </c>
      <c r="D1655" s="4" t="s">
        <v>1724</v>
      </c>
      <c r="E1655" s="4" t="s">
        <v>1725</v>
      </c>
      <c r="F1655" s="4" t="s">
        <v>1726</v>
      </c>
      <c r="G1655" s="4" t="s">
        <v>408</v>
      </c>
      <c r="H1655" s="5">
        <f>ROUND(6480,0)</f>
        <v>6480</v>
      </c>
      <c r="I1655" s="6">
        <f>ROUND(18.14,2)</f>
        <v>18.14</v>
      </c>
      <c r="J1655" s="6">
        <f>ROUND(2.17002213,2)</f>
        <v>2.17</v>
      </c>
      <c r="K1655" s="5">
        <f>ROUND(255080.03,0)</f>
        <v>255080</v>
      </c>
      <c r="L1655" s="7">
        <f>ROUND(0.000088651195972931,4)</f>
        <v>1E-4</v>
      </c>
    </row>
    <row r="1656" spans="1:12">
      <c r="A1656" s="3" t="s">
        <v>3421</v>
      </c>
      <c r="B1656" s="4" t="s">
        <v>3422</v>
      </c>
      <c r="C1656" s="4" t="s">
        <v>545</v>
      </c>
      <c r="D1656" s="4" t="s">
        <v>423</v>
      </c>
      <c r="E1656" s="4" t="s">
        <v>25</v>
      </c>
      <c r="F1656" s="4" t="s">
        <v>16</v>
      </c>
      <c r="G1656" s="4" t="s">
        <v>408</v>
      </c>
      <c r="H1656" s="5">
        <f>ROUND(45,0)</f>
        <v>45</v>
      </c>
      <c r="I1656" s="6">
        <f>ROUND(621.5,2)</f>
        <v>621.5</v>
      </c>
      <c r="J1656" s="6">
        <f>ROUND(9.11185723,2)</f>
        <v>9.11</v>
      </c>
      <c r="K1656" s="5">
        <f>ROUND(254835.87,0)</f>
        <v>254836</v>
      </c>
      <c r="L1656" s="7">
        <f>ROUND(0.0000885663399533957,4)</f>
        <v>1E-4</v>
      </c>
    </row>
    <row r="1657" spans="1:12">
      <c r="A1657" s="3" t="s">
        <v>3423</v>
      </c>
      <c r="B1657" s="4" t="s">
        <v>3424</v>
      </c>
      <c r="C1657" s="4" t="s">
        <v>422</v>
      </c>
      <c r="D1657" s="4" t="s">
        <v>1724</v>
      </c>
      <c r="E1657" s="4" t="s">
        <v>1725</v>
      </c>
      <c r="F1657" s="4" t="s">
        <v>1726</v>
      </c>
      <c r="G1657" s="4" t="s">
        <v>408</v>
      </c>
      <c r="H1657" s="5">
        <f>ROUND(800,0)</f>
        <v>800</v>
      </c>
      <c r="I1657" s="6">
        <f>ROUND(145.7,2)</f>
        <v>145.69999999999999</v>
      </c>
      <c r="J1657" s="6">
        <f>ROUND(2.17002213,2)</f>
        <v>2.17</v>
      </c>
      <c r="K1657" s="5">
        <f>ROUND(252937.78,0)</f>
        <v>252938</v>
      </c>
      <c r="L1657" s="7">
        <f>ROUND(0.000087906672677348,4)</f>
        <v>1E-4</v>
      </c>
    </row>
    <row r="1658" spans="1:12">
      <c r="A1658" s="3" t="s">
        <v>3425</v>
      </c>
      <c r="B1658" s="4" t="s">
        <v>3426</v>
      </c>
      <c r="C1658" s="4" t="s">
        <v>534</v>
      </c>
      <c r="D1658" s="4" t="s">
        <v>541</v>
      </c>
      <c r="E1658" s="4" t="s">
        <v>542</v>
      </c>
      <c r="F1658" s="4" t="s">
        <v>18</v>
      </c>
      <c r="G1658" s="4" t="s">
        <v>408</v>
      </c>
      <c r="H1658" s="5">
        <f>ROUND(328,0)</f>
        <v>328</v>
      </c>
      <c r="I1658" s="6">
        <f>ROUND(77.82,2)</f>
        <v>77.819999999999993</v>
      </c>
      <c r="J1658" s="6">
        <f>ROUND(9.9055,2)</f>
        <v>9.91</v>
      </c>
      <c r="K1658" s="5">
        <f>ROUND(252837.49,0)</f>
        <v>252837</v>
      </c>
      <c r="L1658" s="7">
        <f>ROUND(0.0000878718176224692,4)</f>
        <v>1E-4</v>
      </c>
    </row>
    <row r="1659" spans="1:12">
      <c r="A1659" s="3" t="s">
        <v>3427</v>
      </c>
      <c r="B1659" s="4" t="s">
        <v>3428</v>
      </c>
      <c r="C1659" s="4" t="s">
        <v>415</v>
      </c>
      <c r="D1659" s="4" t="s">
        <v>486</v>
      </c>
      <c r="E1659" s="4" t="s">
        <v>30</v>
      </c>
      <c r="F1659" s="4" t="s">
        <v>20</v>
      </c>
      <c r="G1659" s="4" t="s">
        <v>408</v>
      </c>
      <c r="H1659" s="5">
        <f>ROUND(3058,0)</f>
        <v>3058</v>
      </c>
      <c r="I1659" s="6">
        <f>ROUND(738,2)</f>
        <v>738</v>
      </c>
      <c r="J1659" s="6">
        <f>ROUND(11.19645077,2)</f>
        <v>11.2</v>
      </c>
      <c r="K1659" s="5">
        <f>ROUND(252681.95,0)</f>
        <v>252682</v>
      </c>
      <c r="L1659" s="7">
        <f>ROUND(0.0000878177608347951,4)</f>
        <v>1E-4</v>
      </c>
    </row>
    <row r="1660" spans="1:12">
      <c r="A1660" s="3" t="s">
        <v>3429</v>
      </c>
      <c r="B1660" s="4" t="s">
        <v>3430</v>
      </c>
      <c r="C1660" s="4" t="s">
        <v>534</v>
      </c>
      <c r="D1660" s="4" t="s">
        <v>1221</v>
      </c>
      <c r="E1660" s="4" t="s">
        <v>1222</v>
      </c>
      <c r="F1660" s="4" t="s">
        <v>1223</v>
      </c>
      <c r="G1660" s="4" t="s">
        <v>408</v>
      </c>
      <c r="H1660" s="5">
        <f>ROUND(4200,0)</f>
        <v>4200</v>
      </c>
      <c r="I1660" s="6">
        <f>ROUND(9.14,2)</f>
        <v>9.14</v>
      </c>
      <c r="J1660" s="6">
        <f>ROUND(6.57015886,2)</f>
        <v>6.57</v>
      </c>
      <c r="K1660" s="5">
        <f>ROUND(252215.26,0)</f>
        <v>252215</v>
      </c>
      <c r="L1660" s="7">
        <f>ROUND(0.0000876555661437853,4)</f>
        <v>1E-4</v>
      </c>
    </row>
    <row r="1661" spans="1:12">
      <c r="A1661" s="3" t="s">
        <v>3431</v>
      </c>
      <c r="B1661" s="4" t="s">
        <v>3432</v>
      </c>
      <c r="C1661" s="4" t="s">
        <v>415</v>
      </c>
      <c r="D1661" s="4" t="s">
        <v>486</v>
      </c>
      <c r="E1661" s="4" t="s">
        <v>30</v>
      </c>
      <c r="F1661" s="4" t="s">
        <v>21</v>
      </c>
      <c r="G1661" s="4" t="s">
        <v>408</v>
      </c>
      <c r="H1661" s="5">
        <f>ROUND(1120,0)</f>
        <v>1120</v>
      </c>
      <c r="I1661" s="6">
        <f>ROUND(24.75,2)</f>
        <v>24.75</v>
      </c>
      <c r="J1661" s="6">
        <f>ROUND(9.08595,2)</f>
        <v>9.09</v>
      </c>
      <c r="K1661" s="5">
        <f>ROUND(251862.53,0)</f>
        <v>251863</v>
      </c>
      <c r="L1661" s="7">
        <f>ROUND(0.000087532977416022,4)</f>
        <v>1E-4</v>
      </c>
    </row>
    <row r="1662" spans="1:12">
      <c r="A1662" s="3" t="s">
        <v>3433</v>
      </c>
      <c r="B1662" s="4" t="s">
        <v>3434</v>
      </c>
      <c r="C1662" s="4" t="s">
        <v>445</v>
      </c>
      <c r="D1662" s="4" t="s">
        <v>520</v>
      </c>
      <c r="E1662" s="4" t="s">
        <v>521</v>
      </c>
      <c r="F1662" s="4" t="s">
        <v>18</v>
      </c>
      <c r="G1662" s="4" t="s">
        <v>408</v>
      </c>
      <c r="H1662" s="5">
        <f>ROUND(198,0)</f>
        <v>198</v>
      </c>
      <c r="I1662" s="6">
        <f>ROUND(128.4,2)</f>
        <v>128.4</v>
      </c>
      <c r="J1662" s="6">
        <f>ROUND(9.9055,2)</f>
        <v>9.91</v>
      </c>
      <c r="K1662" s="5">
        <f>ROUND(251829.51,0)</f>
        <v>251830</v>
      </c>
      <c r="L1662" s="7">
        <f>ROUND(0.0000875215015568925,4)</f>
        <v>1E-4</v>
      </c>
    </row>
    <row r="1663" spans="1:12">
      <c r="A1663" s="3" t="s">
        <v>3435</v>
      </c>
      <c r="B1663" s="4" t="s">
        <v>3436</v>
      </c>
      <c r="C1663" s="4" t="s">
        <v>422</v>
      </c>
      <c r="D1663" s="4" t="s">
        <v>514</v>
      </c>
      <c r="E1663" s="4" t="s">
        <v>515</v>
      </c>
      <c r="F1663" s="4" t="s">
        <v>190</v>
      </c>
      <c r="G1663" s="4" t="s">
        <v>408</v>
      </c>
      <c r="H1663" s="5">
        <f>ROUND(1020,0)</f>
        <v>1020</v>
      </c>
      <c r="I1663" s="6">
        <f>ROUND(35.87,2)</f>
        <v>35.869999999999997</v>
      </c>
      <c r="J1663" s="6">
        <f>ROUND(6.86237833,2)</f>
        <v>6.86</v>
      </c>
      <c r="K1663" s="5">
        <f>ROUND(251076.58,0)</f>
        <v>251077</v>
      </c>
      <c r="L1663" s="7">
        <f>ROUND(0.0000872598262505822,4)</f>
        <v>1E-4</v>
      </c>
    </row>
    <row r="1664" spans="1:12">
      <c r="A1664" s="3" t="s">
        <v>3437</v>
      </c>
      <c r="B1664" s="4" t="s">
        <v>3438</v>
      </c>
      <c r="C1664" s="4" t="s">
        <v>566</v>
      </c>
      <c r="D1664" s="4" t="s">
        <v>552</v>
      </c>
      <c r="E1664" s="4" t="s">
        <v>553</v>
      </c>
      <c r="F1664" s="4" t="s">
        <v>26</v>
      </c>
      <c r="G1664" s="4" t="s">
        <v>408</v>
      </c>
      <c r="H1664" s="5">
        <f>ROUND(8800,0)</f>
        <v>8800</v>
      </c>
      <c r="I1664" s="6">
        <f>ROUND(24.6,2)</f>
        <v>24.6</v>
      </c>
      <c r="J1664" s="6">
        <f>ROUND(1.15901246,2)</f>
        <v>1.1599999999999999</v>
      </c>
      <c r="K1664" s="5">
        <f>ROUND(250903.02,0)</f>
        <v>250903</v>
      </c>
      <c r="L1664" s="7">
        <f>ROUND(0.000087199506743904,4)</f>
        <v>1E-4</v>
      </c>
    </row>
    <row r="1665" spans="1:12">
      <c r="A1665" s="3" t="s">
        <v>3439</v>
      </c>
      <c r="B1665" s="4" t="s">
        <v>3440</v>
      </c>
      <c r="C1665" s="4" t="s">
        <v>422</v>
      </c>
      <c r="D1665" s="4" t="s">
        <v>489</v>
      </c>
      <c r="E1665" s="4" t="s">
        <v>490</v>
      </c>
      <c r="F1665" s="4" t="s">
        <v>45</v>
      </c>
      <c r="G1665" s="4" t="s">
        <v>408</v>
      </c>
      <c r="H1665" s="5">
        <f>ROUND(1400,0)</f>
        <v>1400</v>
      </c>
      <c r="I1665" s="6">
        <f>ROUND(2131,2)</f>
        <v>2131</v>
      </c>
      <c r="J1665" s="6">
        <f>ROUND(8.407077,2)</f>
        <v>8.41</v>
      </c>
      <c r="K1665" s="5">
        <f>ROUND(250816.74,0)</f>
        <v>250817</v>
      </c>
      <c r="L1665" s="7">
        <f>ROUND(0.0000871695207619024,4)</f>
        <v>1E-4</v>
      </c>
    </row>
    <row r="1666" spans="1:12">
      <c r="A1666" s="3" t="s">
        <v>3441</v>
      </c>
      <c r="B1666" s="4" t="s">
        <v>3442</v>
      </c>
      <c r="C1666" s="4" t="s">
        <v>534</v>
      </c>
      <c r="D1666" s="4" t="s">
        <v>520</v>
      </c>
      <c r="E1666" s="4" t="s">
        <v>521</v>
      </c>
      <c r="F1666" s="4" t="s">
        <v>18</v>
      </c>
      <c r="G1666" s="4" t="s">
        <v>408</v>
      </c>
      <c r="H1666" s="5">
        <f>ROUND(6652,0)</f>
        <v>6652</v>
      </c>
      <c r="I1666" s="6">
        <f>ROUND(3.802,2)</f>
        <v>3.8</v>
      </c>
      <c r="J1666" s="6">
        <f>ROUND(9.9055,2)</f>
        <v>9.91</v>
      </c>
      <c r="K1666" s="5">
        <f>ROUND(250519.01,0)</f>
        <v>250519</v>
      </c>
      <c r="L1666" s="7">
        <f>ROUND(0.0000870660468812657,4)</f>
        <v>1E-4</v>
      </c>
    </row>
    <row r="1667" spans="1:12">
      <c r="A1667" s="3" t="s">
        <v>3443</v>
      </c>
      <c r="B1667" s="4" t="s">
        <v>3444</v>
      </c>
      <c r="C1667" s="4" t="s">
        <v>400</v>
      </c>
      <c r="D1667" s="4" t="s">
        <v>1221</v>
      </c>
      <c r="E1667" s="4" t="s">
        <v>1222</v>
      </c>
      <c r="F1667" s="4" t="s">
        <v>1223</v>
      </c>
      <c r="G1667" s="4" t="s">
        <v>408</v>
      </c>
      <c r="H1667" s="5">
        <f>ROUND(4500,0)</f>
        <v>4500</v>
      </c>
      <c r="I1667" s="6">
        <f>ROUND(8.47,2)</f>
        <v>8.4700000000000006</v>
      </c>
      <c r="J1667" s="6">
        <f>ROUND(6.57015886,2)</f>
        <v>6.57</v>
      </c>
      <c r="K1667" s="5">
        <f>ROUND(250421.6,0)</f>
        <v>250422</v>
      </c>
      <c r="L1667" s="7">
        <f>ROUND(0.000087032192749291,4)</f>
        <v>1E-4</v>
      </c>
    </row>
    <row r="1668" spans="1:12">
      <c r="A1668" s="3" t="s">
        <v>3445</v>
      </c>
      <c r="B1668" s="4" t="s">
        <v>3446</v>
      </c>
      <c r="C1668" s="4" t="s">
        <v>389</v>
      </c>
      <c r="D1668" s="4" t="s">
        <v>655</v>
      </c>
      <c r="E1668" s="4" t="s">
        <v>656</v>
      </c>
      <c r="F1668" s="4" t="s">
        <v>26</v>
      </c>
      <c r="G1668" s="4" t="s">
        <v>408</v>
      </c>
      <c r="H1668" s="5">
        <f>ROUND(5500,0)</f>
        <v>5500</v>
      </c>
      <c r="I1668" s="6">
        <f>ROUND(39.15,2)</f>
        <v>39.15</v>
      </c>
      <c r="J1668" s="6">
        <f>ROUND(1.15901246,2)</f>
        <v>1.1599999999999999</v>
      </c>
      <c r="K1668" s="5">
        <f>ROUND(249564.36,0)</f>
        <v>249564</v>
      </c>
      <c r="L1668" s="7">
        <f>ROUND(0.0000867342652665483,4)</f>
        <v>1E-4</v>
      </c>
    </row>
    <row r="1669" spans="1:12">
      <c r="A1669" s="3" t="s">
        <v>3447</v>
      </c>
      <c r="B1669" s="4" t="s">
        <v>3448</v>
      </c>
      <c r="C1669" s="4" t="s">
        <v>389</v>
      </c>
      <c r="D1669" s="4" t="s">
        <v>407</v>
      </c>
      <c r="E1669" s="4" t="s">
        <v>35</v>
      </c>
      <c r="F1669" s="4" t="s">
        <v>21</v>
      </c>
      <c r="G1669" s="4" t="s">
        <v>408</v>
      </c>
      <c r="H1669" s="5">
        <f>ROUND(1400,0)</f>
        <v>1400</v>
      </c>
      <c r="I1669" s="6">
        <f>ROUND(19.59,2)</f>
        <v>19.59</v>
      </c>
      <c r="J1669" s="6">
        <f>ROUND(9.08595,2)</f>
        <v>9.09</v>
      </c>
      <c r="K1669" s="5">
        <f>ROUND(249191.26,0)</f>
        <v>249191</v>
      </c>
      <c r="L1669" s="7">
        <f>ROUND(0.0000866045970944946,4)</f>
        <v>1E-4</v>
      </c>
    </row>
    <row r="1670" spans="1:12">
      <c r="A1670" s="3" t="s">
        <v>3449</v>
      </c>
      <c r="B1670" s="4" t="s">
        <v>3450</v>
      </c>
      <c r="C1670" s="4" t="s">
        <v>534</v>
      </c>
      <c r="D1670" s="4" t="s">
        <v>655</v>
      </c>
      <c r="E1670" s="4" t="s">
        <v>656</v>
      </c>
      <c r="F1670" s="4" t="s">
        <v>26</v>
      </c>
      <c r="G1670" s="4" t="s">
        <v>408</v>
      </c>
      <c r="H1670" s="5">
        <f>ROUND(19000,0)</f>
        <v>19000</v>
      </c>
      <c r="I1670" s="6">
        <f>ROUND(11.3,2)</f>
        <v>11.3</v>
      </c>
      <c r="J1670" s="6">
        <f>ROUND(1.15901246,2)</f>
        <v>1.1599999999999999</v>
      </c>
      <c r="K1670" s="5">
        <f>ROUND(248839.98,0)</f>
        <v>248840</v>
      </c>
      <c r="L1670" s="7">
        <f>ROUND(0.0000864825123036101,4)</f>
        <v>1E-4</v>
      </c>
    </row>
    <row r="1671" spans="1:12">
      <c r="A1671" s="3" t="s">
        <v>3451</v>
      </c>
      <c r="B1671" s="4" t="s">
        <v>3452</v>
      </c>
      <c r="C1671" s="4" t="s">
        <v>415</v>
      </c>
      <c r="D1671" s="4" t="s">
        <v>766</v>
      </c>
      <c r="E1671" s="4" t="s">
        <v>767</v>
      </c>
      <c r="F1671" s="4" t="s">
        <v>768</v>
      </c>
      <c r="G1671" s="4" t="s">
        <v>408</v>
      </c>
      <c r="H1671" s="5">
        <f>ROUND(3800,0)</f>
        <v>3800</v>
      </c>
      <c r="I1671" s="6">
        <f>ROUND(220,2)</f>
        <v>220</v>
      </c>
      <c r="J1671" s="6">
        <f>ROUND(0.29707172,2)</f>
        <v>0.3</v>
      </c>
      <c r="K1671" s="5">
        <f>ROUND(248351.96,0)</f>
        <v>248352</v>
      </c>
      <c r="L1671" s="7">
        <f>ROUND(0.000086312904527342,4)</f>
        <v>1E-4</v>
      </c>
    </row>
    <row r="1672" spans="1:12">
      <c r="A1672" s="3" t="s">
        <v>3453</v>
      </c>
      <c r="B1672" s="4" t="s">
        <v>3454</v>
      </c>
      <c r="C1672" s="4" t="s">
        <v>389</v>
      </c>
      <c r="D1672" s="4" t="s">
        <v>456</v>
      </c>
      <c r="E1672" s="4" t="s">
        <v>457</v>
      </c>
      <c r="F1672" s="4" t="s">
        <v>26</v>
      </c>
      <c r="G1672" s="4" t="s">
        <v>408</v>
      </c>
      <c r="H1672" s="5">
        <f>ROUND(14000,0)</f>
        <v>14000</v>
      </c>
      <c r="I1672" s="6">
        <f>ROUND(15.3,2)</f>
        <v>15.3</v>
      </c>
      <c r="J1672" s="6">
        <f>ROUND(1.15901246,2)</f>
        <v>1.1599999999999999</v>
      </c>
      <c r="K1672" s="5">
        <f>ROUND(248260.47,0)</f>
        <v>248260</v>
      </c>
      <c r="L1672" s="7">
        <f>ROUND(0.0000862811078480035,4)</f>
        <v>1E-4</v>
      </c>
    </row>
    <row r="1673" spans="1:12">
      <c r="A1673" s="3" t="s">
        <v>3455</v>
      </c>
      <c r="B1673" s="4" t="s">
        <v>3456</v>
      </c>
      <c r="C1673" s="4" t="s">
        <v>534</v>
      </c>
      <c r="D1673" s="4" t="s">
        <v>486</v>
      </c>
      <c r="E1673" s="4" t="s">
        <v>30</v>
      </c>
      <c r="F1673" s="4" t="s">
        <v>20</v>
      </c>
      <c r="G1673" s="4" t="s">
        <v>408</v>
      </c>
      <c r="H1673" s="5">
        <f>ROUND(15287,0)</f>
        <v>15287</v>
      </c>
      <c r="I1673" s="6">
        <f>ROUND(144.85,2)</f>
        <v>144.85</v>
      </c>
      <c r="J1673" s="6">
        <f>ROUND(11.19645077,2)</f>
        <v>11.2</v>
      </c>
      <c r="K1673" s="5">
        <f>ROUND(247925.47,0)</f>
        <v>247925</v>
      </c>
      <c r="L1673" s="7">
        <f>ROUND(0.0000861646810518684,4)</f>
        <v>1E-4</v>
      </c>
    </row>
    <row r="1674" spans="1:12">
      <c r="A1674" s="3" t="s">
        <v>3457</v>
      </c>
      <c r="B1674" s="4" t="s">
        <v>3458</v>
      </c>
      <c r="C1674" s="4" t="s">
        <v>400</v>
      </c>
      <c r="D1674" s="4" t="s">
        <v>401</v>
      </c>
      <c r="E1674" s="4" t="s">
        <v>402</v>
      </c>
      <c r="F1674" s="4" t="s">
        <v>403</v>
      </c>
      <c r="G1674" s="4" t="s">
        <v>408</v>
      </c>
      <c r="H1674" s="5">
        <f>ROUND(41200,0)</f>
        <v>41200</v>
      </c>
      <c r="I1674" s="6">
        <f>ROUND(20.5,2)</f>
        <v>20.5</v>
      </c>
      <c r="J1674" s="6">
        <f>ROUND(0.29286371,2)</f>
        <v>0.28999999999999998</v>
      </c>
      <c r="K1674" s="5">
        <f>ROUND(247352.69,0)</f>
        <v>247353</v>
      </c>
      <c r="L1674" s="7">
        <f>ROUND(0.0000859656155584647,4)</f>
        <v>1E-4</v>
      </c>
    </row>
    <row r="1675" spans="1:12">
      <c r="A1675" s="3" t="s">
        <v>3459</v>
      </c>
      <c r="B1675" s="4" t="s">
        <v>3460</v>
      </c>
      <c r="C1675" s="4" t="s">
        <v>445</v>
      </c>
      <c r="D1675" s="4" t="s">
        <v>541</v>
      </c>
      <c r="E1675" s="4" t="s">
        <v>542</v>
      </c>
      <c r="F1675" s="4" t="s">
        <v>18</v>
      </c>
      <c r="G1675" s="4" t="s">
        <v>408</v>
      </c>
      <c r="H1675" s="5">
        <f>ROUND(149,0)</f>
        <v>149</v>
      </c>
      <c r="I1675" s="6">
        <f>ROUND(167.4,2)</f>
        <v>167.4</v>
      </c>
      <c r="J1675" s="6">
        <f>ROUND(9.9055,2)</f>
        <v>9.91</v>
      </c>
      <c r="K1675" s="5">
        <f>ROUND(247068.92,0)</f>
        <v>247069</v>
      </c>
      <c r="L1675" s="7">
        <f>ROUND(0.0000858669933735715,4)</f>
        <v>1E-4</v>
      </c>
    </row>
    <row r="1676" spans="1:12">
      <c r="A1676" s="3" t="s">
        <v>3461</v>
      </c>
      <c r="B1676" s="4" t="s">
        <v>3462</v>
      </c>
      <c r="C1676" s="4" t="s">
        <v>493</v>
      </c>
      <c r="D1676" s="4" t="s">
        <v>1822</v>
      </c>
      <c r="E1676" s="4" t="s">
        <v>1823</v>
      </c>
      <c r="F1676" s="4" t="s">
        <v>1824</v>
      </c>
      <c r="G1676" s="4" t="s">
        <v>408</v>
      </c>
      <c r="H1676" s="5">
        <f>ROUND(5171,0)</f>
        <v>5171</v>
      </c>
      <c r="I1676" s="6">
        <f>ROUND(18240,2)</f>
        <v>18240</v>
      </c>
      <c r="J1676" s="6">
        <f>ROUND(0.00261206,2)</f>
        <v>0</v>
      </c>
      <c r="K1676" s="5">
        <f>ROUND(246366.99,0)</f>
        <v>246367</v>
      </c>
      <c r="L1676" s="7">
        <f>ROUND(0.0000856230427436877,4)</f>
        <v>1E-4</v>
      </c>
    </row>
    <row r="1677" spans="1:12">
      <c r="A1677" s="3" t="s">
        <v>3463</v>
      </c>
      <c r="B1677" s="4" t="s">
        <v>3464</v>
      </c>
      <c r="C1677" s="4" t="s">
        <v>566</v>
      </c>
      <c r="D1677" s="4" t="s">
        <v>552</v>
      </c>
      <c r="E1677" s="4" t="s">
        <v>553</v>
      </c>
      <c r="F1677" s="4" t="s">
        <v>26</v>
      </c>
      <c r="G1677" s="4" t="s">
        <v>408</v>
      </c>
      <c r="H1677" s="5">
        <f>ROUND(18000,0)</f>
        <v>18000</v>
      </c>
      <c r="I1677" s="6">
        <f>ROUND(11.78,2)</f>
        <v>11.78</v>
      </c>
      <c r="J1677" s="6">
        <f>ROUND(1.15901246,2)</f>
        <v>1.1599999999999999</v>
      </c>
      <c r="K1677" s="5">
        <f>ROUND(245757,0)</f>
        <v>245757</v>
      </c>
      <c r="L1677" s="7">
        <f>ROUND(0.0000854110451873461,4)</f>
        <v>1E-4</v>
      </c>
    </row>
    <row r="1678" spans="1:12">
      <c r="A1678" s="3" t="s">
        <v>3465</v>
      </c>
      <c r="B1678" s="4" t="s">
        <v>3466</v>
      </c>
      <c r="C1678" s="4" t="s">
        <v>400</v>
      </c>
      <c r="D1678" s="4" t="s">
        <v>395</v>
      </c>
      <c r="E1678" s="4" t="s">
        <v>396</v>
      </c>
      <c r="F1678" s="4" t="s">
        <v>397</v>
      </c>
      <c r="G1678" s="4" t="s">
        <v>408</v>
      </c>
      <c r="H1678" s="5">
        <f>ROUND(1913,0)</f>
        <v>1913</v>
      </c>
      <c r="I1678" s="6">
        <f>ROUND(58.89,2)</f>
        <v>58.89</v>
      </c>
      <c r="J1678" s="6">
        <f>ROUND(2.18129969,2)</f>
        <v>2.1800000000000002</v>
      </c>
      <c r="K1678" s="5">
        <f>ROUND(245737.74,0)</f>
        <v>245738</v>
      </c>
      <c r="L1678" s="7">
        <f>ROUND(0.000085404351515425,4)</f>
        <v>1E-4</v>
      </c>
    </row>
    <row r="1679" spans="1:12">
      <c r="A1679" s="3" t="s">
        <v>3467</v>
      </c>
      <c r="B1679" s="4" t="s">
        <v>3468</v>
      </c>
      <c r="C1679" s="4" t="s">
        <v>415</v>
      </c>
      <c r="D1679" s="4" t="s">
        <v>407</v>
      </c>
      <c r="E1679" s="4" t="s">
        <v>35</v>
      </c>
      <c r="F1679" s="4" t="s">
        <v>21</v>
      </c>
      <c r="G1679" s="4" t="s">
        <v>408</v>
      </c>
      <c r="H1679" s="5">
        <f>ROUND(943,0)</f>
        <v>943</v>
      </c>
      <c r="I1679" s="6">
        <f>ROUND(28.68,2)</f>
        <v>28.68</v>
      </c>
      <c r="J1679" s="6">
        <f>ROUND(9.08595,2)</f>
        <v>9.09</v>
      </c>
      <c r="K1679" s="5">
        <f>ROUND(245731.7,0)</f>
        <v>245732</v>
      </c>
      <c r="L1679" s="7">
        <f>ROUND(0.0000854022523576679,4)</f>
        <v>1E-4</v>
      </c>
    </row>
    <row r="1680" spans="1:12">
      <c r="A1680" s="3" t="s">
        <v>3469</v>
      </c>
      <c r="B1680" s="4" t="s">
        <v>3470</v>
      </c>
      <c r="C1680" s="4" t="s">
        <v>534</v>
      </c>
      <c r="D1680" s="4" t="s">
        <v>496</v>
      </c>
      <c r="E1680" s="4" t="s">
        <v>497</v>
      </c>
      <c r="F1680" s="4" t="s">
        <v>18</v>
      </c>
      <c r="G1680" s="4" t="s">
        <v>408</v>
      </c>
      <c r="H1680" s="5">
        <f>ROUND(552,0)</f>
        <v>552</v>
      </c>
      <c r="I1680" s="6">
        <f>ROUND(44.8,2)</f>
        <v>44.8</v>
      </c>
      <c r="J1680" s="6">
        <f>ROUND(9.9055,2)</f>
        <v>9.91</v>
      </c>
      <c r="K1680" s="5">
        <f>ROUND(244959.05,0)</f>
        <v>244959</v>
      </c>
      <c r="L1680" s="7">
        <f>ROUND(0.0000851337235098059,4)</f>
        <v>1E-4</v>
      </c>
    </row>
    <row r="1681" spans="1:12">
      <c r="A1681" s="3" t="s">
        <v>3471</v>
      </c>
      <c r="B1681" s="4" t="s">
        <v>3472</v>
      </c>
      <c r="C1681" s="4" t="s">
        <v>422</v>
      </c>
      <c r="D1681" s="4" t="s">
        <v>1857</v>
      </c>
      <c r="E1681" s="4" t="s">
        <v>1858</v>
      </c>
      <c r="F1681" s="4" t="s">
        <v>1859</v>
      </c>
      <c r="G1681" s="4" t="s">
        <v>408</v>
      </c>
      <c r="H1681" s="5">
        <f>ROUND(3242,0)</f>
        <v>3242</v>
      </c>
      <c r="I1681" s="6">
        <f>ROUND(13.26,2)</f>
        <v>13.26</v>
      </c>
      <c r="J1681" s="6">
        <f>ROUND(5.69723636,2)</f>
        <v>5.7</v>
      </c>
      <c r="K1681" s="5">
        <f>ROUND(244918.04,0)</f>
        <v>244918</v>
      </c>
      <c r="L1681" s="7">
        <f>ROUND(0.000085119470784703,4)</f>
        <v>1E-4</v>
      </c>
    </row>
    <row r="1682" spans="1:12">
      <c r="A1682" s="3" t="s">
        <v>3473</v>
      </c>
      <c r="B1682" s="4" t="s">
        <v>3474</v>
      </c>
      <c r="C1682" s="4" t="s">
        <v>415</v>
      </c>
      <c r="D1682" s="4" t="s">
        <v>1228</v>
      </c>
      <c r="E1682" s="4" t="s">
        <v>1229</v>
      </c>
      <c r="F1682" s="4" t="s">
        <v>18</v>
      </c>
      <c r="G1682" s="4" t="s">
        <v>408</v>
      </c>
      <c r="H1682" s="5">
        <f>ROUND(1478,0)</f>
        <v>1478</v>
      </c>
      <c r="I1682" s="6">
        <f>ROUND(16.725,2)</f>
        <v>16.73</v>
      </c>
      <c r="J1682" s="6">
        <f>ROUND(9.9055,2)</f>
        <v>9.91</v>
      </c>
      <c r="K1682" s="5">
        <f>ROUND(244859.5,0)</f>
        <v>244860</v>
      </c>
      <c r="L1682" s="7">
        <f>ROUND(0.0000850991256365067,4)</f>
        <v>1E-4</v>
      </c>
    </row>
    <row r="1683" spans="1:12">
      <c r="A1683" s="3" t="s">
        <v>3475</v>
      </c>
      <c r="B1683" s="4" t="s">
        <v>3476</v>
      </c>
      <c r="C1683" s="4" t="s">
        <v>389</v>
      </c>
      <c r="D1683" s="4" t="s">
        <v>407</v>
      </c>
      <c r="E1683" s="4" t="s">
        <v>35</v>
      </c>
      <c r="F1683" s="4" t="s">
        <v>21</v>
      </c>
      <c r="G1683" s="4" t="s">
        <v>408</v>
      </c>
      <c r="H1683" s="5">
        <f>ROUND(800,0)</f>
        <v>800</v>
      </c>
      <c r="I1683" s="6">
        <f>ROUND(33.67,2)</f>
        <v>33.67</v>
      </c>
      <c r="J1683" s="6">
        <f>ROUND(9.08595,2)</f>
        <v>9.09</v>
      </c>
      <c r="K1683" s="5">
        <f>ROUND(244739.15,0)</f>
        <v>244739</v>
      </c>
      <c r="L1683" s="7">
        <f>ROUND(0.0000850572988755668,4)</f>
        <v>1E-4</v>
      </c>
    </row>
    <row r="1684" spans="1:12">
      <c r="A1684" s="3" t="s">
        <v>3477</v>
      </c>
      <c r="B1684" s="4" t="s">
        <v>3478</v>
      </c>
      <c r="C1684" s="4" t="s">
        <v>534</v>
      </c>
      <c r="D1684" s="4" t="s">
        <v>407</v>
      </c>
      <c r="E1684" s="4" t="s">
        <v>35</v>
      </c>
      <c r="F1684" s="4" t="s">
        <v>21</v>
      </c>
      <c r="G1684" s="4" t="s">
        <v>408</v>
      </c>
      <c r="H1684" s="5">
        <f>ROUND(200,0)</f>
        <v>200</v>
      </c>
      <c r="I1684" s="6">
        <f>ROUND(133.75,2)</f>
        <v>133.75</v>
      </c>
      <c r="J1684" s="6">
        <f>ROUND(9.08595,2)</f>
        <v>9.09</v>
      </c>
      <c r="K1684" s="5">
        <f>ROUND(243049.16,0)</f>
        <v>243049</v>
      </c>
      <c r="L1684" s="7">
        <f>ROUND(0.0000844699552301929,4)</f>
        <v>1E-4</v>
      </c>
    </row>
    <row r="1685" spans="1:12">
      <c r="A1685" s="3" t="s">
        <v>3479</v>
      </c>
      <c r="B1685" s="4" t="s">
        <v>3480</v>
      </c>
      <c r="C1685" s="4" t="s">
        <v>400</v>
      </c>
      <c r="D1685" s="4" t="s">
        <v>1024</v>
      </c>
      <c r="E1685" s="4" t="s">
        <v>1025</v>
      </c>
      <c r="F1685" s="4" t="s">
        <v>1026</v>
      </c>
      <c r="G1685" s="4" t="s">
        <v>408</v>
      </c>
      <c r="H1685" s="5">
        <f>ROUND(1015,0)</f>
        <v>1015</v>
      </c>
      <c r="I1685" s="6">
        <f>ROUND(258.9,2)</f>
        <v>258.89999999999998</v>
      </c>
      <c r="J1685" s="6">
        <f>ROUND(0.92410673,2)</f>
        <v>0.92</v>
      </c>
      <c r="K1685" s="5">
        <f>ROUND(242840,0)</f>
        <v>242840</v>
      </c>
      <c r="L1685" s="7">
        <f>ROUND(0.0000843972632042836,4)</f>
        <v>1E-4</v>
      </c>
    </row>
    <row r="1686" spans="1:12">
      <c r="A1686" s="3" t="s">
        <v>3481</v>
      </c>
      <c r="B1686" s="4" t="s">
        <v>3482</v>
      </c>
      <c r="C1686" s="4" t="s">
        <v>400</v>
      </c>
      <c r="D1686" s="4" t="s">
        <v>489</v>
      </c>
      <c r="E1686" s="4" t="s">
        <v>490</v>
      </c>
      <c r="F1686" s="4" t="s">
        <v>45</v>
      </c>
      <c r="G1686" s="4" t="s">
        <v>408</v>
      </c>
      <c r="H1686" s="5">
        <f>ROUND(6000,0)</f>
        <v>6000</v>
      </c>
      <c r="I1686" s="6">
        <f>ROUND(481.4,2)</f>
        <v>481.4</v>
      </c>
      <c r="J1686" s="6">
        <f>ROUND(8.407077,2)</f>
        <v>8.41</v>
      </c>
      <c r="K1686" s="5">
        <f>ROUND(242830.01,0)</f>
        <v>242830</v>
      </c>
      <c r="L1686" s="7">
        <f>ROUND(0.0000843937912529601,4)</f>
        <v>1E-4</v>
      </c>
    </row>
    <row r="1687" spans="1:12">
      <c r="A1687" s="3" t="s">
        <v>3483</v>
      </c>
      <c r="B1687" s="4" t="s">
        <v>3484</v>
      </c>
      <c r="C1687" s="4" t="s">
        <v>445</v>
      </c>
      <c r="D1687" s="4" t="s">
        <v>489</v>
      </c>
      <c r="E1687" s="4" t="s">
        <v>490</v>
      </c>
      <c r="F1687" s="4" t="s">
        <v>45</v>
      </c>
      <c r="G1687" s="4" t="s">
        <v>408</v>
      </c>
      <c r="H1687" s="5">
        <f>ROUND(1200,0)</f>
        <v>1200</v>
      </c>
      <c r="I1687" s="6">
        <f>ROUND(2406,2)</f>
        <v>2406</v>
      </c>
      <c r="J1687" s="6">
        <f>ROUND(8.407077,2)</f>
        <v>8.41</v>
      </c>
      <c r="K1687" s="5">
        <f>ROUND(242729.13,0)</f>
        <v>242729</v>
      </c>
      <c r="L1687" s="7">
        <f>ROUND(0.0000843587311479031,4)</f>
        <v>1E-4</v>
      </c>
    </row>
    <row r="1688" spans="1:12">
      <c r="A1688" s="3" t="s">
        <v>3485</v>
      </c>
      <c r="B1688" s="4" t="s">
        <v>3486</v>
      </c>
      <c r="C1688" s="4" t="s">
        <v>545</v>
      </c>
      <c r="D1688" s="4" t="s">
        <v>407</v>
      </c>
      <c r="E1688" s="4" t="s">
        <v>35</v>
      </c>
      <c r="F1688" s="4" t="s">
        <v>21</v>
      </c>
      <c r="G1688" s="4" t="s">
        <v>408</v>
      </c>
      <c r="H1688" s="5">
        <f>ROUND(400,0)</f>
        <v>400</v>
      </c>
      <c r="I1688" s="6">
        <f>ROUND(66.76,2)</f>
        <v>66.760000000000005</v>
      </c>
      <c r="J1688" s="6">
        <f>ROUND(9.08595,2)</f>
        <v>9.09</v>
      </c>
      <c r="K1688" s="5">
        <f>ROUND(242631.21,0)</f>
        <v>242631</v>
      </c>
      <c r="L1688" s="7">
        <f>ROUND(0.0000843246997691641,4)</f>
        <v>1E-4</v>
      </c>
    </row>
    <row r="1689" spans="1:12">
      <c r="A1689" s="3" t="s">
        <v>3487</v>
      </c>
      <c r="B1689" s="4" t="s">
        <v>3488</v>
      </c>
      <c r="C1689" s="4" t="s">
        <v>406</v>
      </c>
      <c r="D1689" s="4" t="s">
        <v>489</v>
      </c>
      <c r="E1689" s="4" t="s">
        <v>490</v>
      </c>
      <c r="F1689" s="4" t="s">
        <v>45</v>
      </c>
      <c r="G1689" s="4" t="s">
        <v>408</v>
      </c>
      <c r="H1689" s="5">
        <f>ROUND(1200,0)</f>
        <v>1200</v>
      </c>
      <c r="I1689" s="6">
        <f>ROUND(2404,2)</f>
        <v>2404</v>
      </c>
      <c r="J1689" s="6">
        <f>ROUND(8.407077,2)</f>
        <v>8.41</v>
      </c>
      <c r="K1689" s="5">
        <f>ROUND(242527.36,0)</f>
        <v>242527</v>
      </c>
      <c r="L1689" s="7">
        <f>ROUND(0.0000842886074623622,4)</f>
        <v>1E-4</v>
      </c>
    </row>
    <row r="1690" spans="1:12">
      <c r="A1690" s="3" t="s">
        <v>3489</v>
      </c>
      <c r="B1690" s="4" t="s">
        <v>3490</v>
      </c>
      <c r="C1690" s="4" t="s">
        <v>389</v>
      </c>
      <c r="D1690" s="4" t="s">
        <v>489</v>
      </c>
      <c r="E1690" s="4" t="s">
        <v>490</v>
      </c>
      <c r="F1690" s="4" t="s">
        <v>45</v>
      </c>
      <c r="G1690" s="4" t="s">
        <v>408</v>
      </c>
      <c r="H1690" s="5">
        <f>ROUND(3000,0)</f>
        <v>3000</v>
      </c>
      <c r="I1690" s="6">
        <f>ROUND(959.5,2)</f>
        <v>959.5</v>
      </c>
      <c r="J1690" s="6">
        <f>ROUND(8.407077,2)</f>
        <v>8.41</v>
      </c>
      <c r="K1690" s="5">
        <f>ROUND(241997.71,0)</f>
        <v>241998</v>
      </c>
      <c r="L1690" s="7">
        <f>ROUND(0.0000841045314845326,4)</f>
        <v>1E-4</v>
      </c>
    </row>
    <row r="1691" spans="1:12">
      <c r="A1691" s="3" t="s">
        <v>3491</v>
      </c>
      <c r="B1691" s="4" t="s">
        <v>3492</v>
      </c>
      <c r="C1691" s="4" t="s">
        <v>406</v>
      </c>
      <c r="D1691" s="4" t="s">
        <v>789</v>
      </c>
      <c r="E1691" s="4" t="s">
        <v>790</v>
      </c>
      <c r="F1691" s="4" t="s">
        <v>791</v>
      </c>
      <c r="G1691" s="4" t="s">
        <v>408</v>
      </c>
      <c r="H1691" s="5">
        <f>ROUND(2638,0)</f>
        <v>2638</v>
      </c>
      <c r="I1691" s="6">
        <f>ROUND(714.5,2)</f>
        <v>714.5</v>
      </c>
      <c r="J1691" s="6">
        <f>ROUND(0.12820804,2)</f>
        <v>0.13</v>
      </c>
      <c r="K1691" s="5">
        <f>ROUND(241653.05,0)</f>
        <v>241653</v>
      </c>
      <c r="L1691" s="7">
        <f>ROUND(0.0000839847474261568,4)</f>
        <v>1E-4</v>
      </c>
    </row>
    <row r="1692" spans="1:12">
      <c r="A1692" s="3" t="s">
        <v>3493</v>
      </c>
      <c r="B1692" s="4" t="s">
        <v>3494</v>
      </c>
      <c r="C1692" s="4" t="s">
        <v>534</v>
      </c>
      <c r="D1692" s="4" t="s">
        <v>489</v>
      </c>
      <c r="E1692" s="4" t="s">
        <v>490</v>
      </c>
      <c r="F1692" s="4" t="s">
        <v>45</v>
      </c>
      <c r="G1692" s="4" t="s">
        <v>408</v>
      </c>
      <c r="H1692" s="5">
        <f>ROUND(1500,0)</f>
        <v>1500</v>
      </c>
      <c r="I1692" s="6">
        <f>ROUND(1912,2)</f>
        <v>1912</v>
      </c>
      <c r="J1692" s="6">
        <f>ROUND(8.407077,2)</f>
        <v>8.41</v>
      </c>
      <c r="K1692" s="5">
        <f>ROUND(241114.97,0)</f>
        <v>241115</v>
      </c>
      <c r="L1692" s="7">
        <f>ROUND(0.0000837977416635766,4)</f>
        <v>1E-4</v>
      </c>
    </row>
    <row r="1693" spans="1:12">
      <c r="A1693" s="3" t="s">
        <v>3495</v>
      </c>
      <c r="B1693" s="4" t="s">
        <v>3496</v>
      </c>
      <c r="C1693" s="4" t="s">
        <v>566</v>
      </c>
      <c r="D1693" s="4" t="s">
        <v>717</v>
      </c>
      <c r="E1693" s="4" t="s">
        <v>718</v>
      </c>
      <c r="F1693" s="4" t="s">
        <v>175</v>
      </c>
      <c r="G1693" s="4" t="s">
        <v>408</v>
      </c>
      <c r="H1693" s="5">
        <f>ROUND(17414,0)</f>
        <v>17414</v>
      </c>
      <c r="I1693" s="6">
        <f>ROUND(2310,2)</f>
        <v>2310</v>
      </c>
      <c r="J1693" s="6">
        <f>ROUND(0.59923836,2)</f>
        <v>0.6</v>
      </c>
      <c r="K1693" s="5">
        <f>ROUND(241051.66,0)</f>
        <v>241052</v>
      </c>
      <c r="L1693" s="7">
        <f>ROUND(0.0000837757387368205,4)</f>
        <v>1E-4</v>
      </c>
    </row>
    <row r="1694" spans="1:12">
      <c r="A1694" s="3" t="s">
        <v>3497</v>
      </c>
      <c r="B1694" s="4" t="s">
        <v>3498</v>
      </c>
      <c r="C1694" s="4" t="s">
        <v>400</v>
      </c>
      <c r="D1694" s="4" t="s">
        <v>1822</v>
      </c>
      <c r="E1694" s="4" t="s">
        <v>1823</v>
      </c>
      <c r="F1694" s="4" t="s">
        <v>1824</v>
      </c>
      <c r="G1694" s="4" t="s">
        <v>408</v>
      </c>
      <c r="H1694" s="5">
        <f>ROUND(2328,0)</f>
        <v>2328</v>
      </c>
      <c r="I1694" s="6">
        <f>ROUND(39500,2)</f>
        <v>39500</v>
      </c>
      <c r="J1694" s="6">
        <f>ROUND(0.00261206,2)</f>
        <v>0</v>
      </c>
      <c r="K1694" s="5">
        <f>ROUND(240194.59,0)</f>
        <v>240195</v>
      </c>
      <c r="L1694" s="7">
        <f>ROUND(0.0000834778703363325,4)</f>
        <v>1E-4</v>
      </c>
    </row>
    <row r="1695" spans="1:12">
      <c r="A1695" s="3" t="s">
        <v>3499</v>
      </c>
      <c r="B1695" s="4" t="s">
        <v>3500</v>
      </c>
      <c r="C1695" s="4" t="s">
        <v>445</v>
      </c>
      <c r="D1695" s="4" t="s">
        <v>407</v>
      </c>
      <c r="E1695" s="4" t="s">
        <v>35</v>
      </c>
      <c r="F1695" s="4" t="s">
        <v>21</v>
      </c>
      <c r="G1695" s="4" t="s">
        <v>408</v>
      </c>
      <c r="H1695" s="5">
        <f>ROUND(1451,0)</f>
        <v>1451</v>
      </c>
      <c r="I1695" s="6">
        <f>ROUND(18.215,2)</f>
        <v>18.22</v>
      </c>
      <c r="J1695" s="6">
        <f>ROUND(9.08595,2)</f>
        <v>9.09</v>
      </c>
      <c r="K1695" s="5">
        <f>ROUND(240141.39,0)</f>
        <v>240141</v>
      </c>
      <c r="L1695" s="7">
        <f>ROUND(0.0000834593810660209,4)</f>
        <v>1E-4</v>
      </c>
    </row>
    <row r="1696" spans="1:12">
      <c r="A1696" s="3" t="s">
        <v>3501</v>
      </c>
      <c r="B1696" s="4" t="s">
        <v>3502</v>
      </c>
      <c r="C1696" s="4" t="s">
        <v>389</v>
      </c>
      <c r="D1696" s="4" t="s">
        <v>407</v>
      </c>
      <c r="E1696" s="4" t="s">
        <v>35</v>
      </c>
      <c r="F1696" s="4" t="s">
        <v>21</v>
      </c>
      <c r="G1696" s="4" t="s">
        <v>408</v>
      </c>
      <c r="H1696" s="5">
        <f>ROUND(300,0)</f>
        <v>300</v>
      </c>
      <c r="I1696" s="6">
        <f>ROUND(88.01,2)</f>
        <v>88.01</v>
      </c>
      <c r="J1696" s="6">
        <f>ROUND(9.08595,2)</f>
        <v>9.09</v>
      </c>
      <c r="K1696" s="5">
        <f>ROUND(239896.34,0)</f>
        <v>239896</v>
      </c>
      <c r="L1696" s="7">
        <f>ROUND(0.0000833742157335048,4)</f>
        <v>1E-4</v>
      </c>
    </row>
    <row r="1697" spans="1:12">
      <c r="A1697" s="3" t="s">
        <v>3503</v>
      </c>
      <c r="B1697" s="4" t="s">
        <v>3504</v>
      </c>
      <c r="C1697" s="4" t="s">
        <v>415</v>
      </c>
      <c r="D1697" s="4" t="s">
        <v>486</v>
      </c>
      <c r="E1697" s="4" t="s">
        <v>30</v>
      </c>
      <c r="F1697" s="4" t="s">
        <v>20</v>
      </c>
      <c r="G1697" s="4" t="s">
        <v>408</v>
      </c>
      <c r="H1697" s="5">
        <f>ROUND(2507,0)</f>
        <v>2507</v>
      </c>
      <c r="I1697" s="6">
        <f>ROUND(852,2)</f>
        <v>852</v>
      </c>
      <c r="J1697" s="6">
        <f>ROUND(11.19645077,2)</f>
        <v>11.2</v>
      </c>
      <c r="K1697" s="5">
        <f>ROUND(239152.16,0)</f>
        <v>239152</v>
      </c>
      <c r="L1697" s="7">
        <f>ROUND(0.000083115581425601,4)</f>
        <v>1E-4</v>
      </c>
    </row>
    <row r="1698" spans="1:12">
      <c r="A1698" s="3" t="s">
        <v>3505</v>
      </c>
      <c r="B1698" s="4" t="s">
        <v>3506</v>
      </c>
      <c r="C1698" s="4" t="s">
        <v>445</v>
      </c>
      <c r="D1698" s="4" t="s">
        <v>489</v>
      </c>
      <c r="E1698" s="4" t="s">
        <v>490</v>
      </c>
      <c r="F1698" s="4" t="s">
        <v>45</v>
      </c>
      <c r="G1698" s="4" t="s">
        <v>408</v>
      </c>
      <c r="H1698" s="5">
        <f>ROUND(2400,0)</f>
        <v>2400</v>
      </c>
      <c r="I1698" s="6">
        <f>ROUND(1185,2)</f>
        <v>1185</v>
      </c>
      <c r="J1698" s="6">
        <f>ROUND(8.407077,2)</f>
        <v>8.41</v>
      </c>
      <c r="K1698" s="5">
        <f>ROUND(239097.27,0)</f>
        <v>239097</v>
      </c>
      <c r="L1698" s="7">
        <f>ROUND(0.0000830965048081686,4)</f>
        <v>1E-4</v>
      </c>
    </row>
    <row r="1699" spans="1:12">
      <c r="A1699" s="3" t="s">
        <v>3507</v>
      </c>
      <c r="B1699" s="4" t="s">
        <v>3508</v>
      </c>
      <c r="C1699" s="4" t="s">
        <v>445</v>
      </c>
      <c r="D1699" s="4" t="s">
        <v>489</v>
      </c>
      <c r="E1699" s="4" t="s">
        <v>490</v>
      </c>
      <c r="F1699" s="4" t="s">
        <v>45</v>
      </c>
      <c r="G1699" s="4" t="s">
        <v>408</v>
      </c>
      <c r="H1699" s="5">
        <f>ROUND(1600,0)</f>
        <v>1600</v>
      </c>
      <c r="I1699" s="6">
        <f>ROUND(1775,2)</f>
        <v>1775</v>
      </c>
      <c r="J1699" s="6">
        <f>ROUND(8.407077,2)</f>
        <v>8.41</v>
      </c>
      <c r="K1699" s="5">
        <f>ROUND(238760.99,0)</f>
        <v>238761</v>
      </c>
      <c r="L1699" s="7">
        <f>ROUND(0.0000829796331574095,4)</f>
        <v>1E-4</v>
      </c>
    </row>
    <row r="1700" spans="1:12">
      <c r="A1700" s="3" t="s">
        <v>3509</v>
      </c>
      <c r="B1700" s="4" t="s">
        <v>3510</v>
      </c>
      <c r="C1700" s="4" t="s">
        <v>566</v>
      </c>
      <c r="D1700" s="4" t="s">
        <v>1221</v>
      </c>
      <c r="E1700" s="4" t="s">
        <v>1222</v>
      </c>
      <c r="F1700" s="4" t="s">
        <v>1223</v>
      </c>
      <c r="G1700" s="4" t="s">
        <v>408</v>
      </c>
      <c r="H1700" s="5">
        <f>ROUND(3700,0)</f>
        <v>3700</v>
      </c>
      <c r="I1700" s="6">
        <f>ROUND(9.82,2)</f>
        <v>9.82</v>
      </c>
      <c r="J1700" s="6">
        <f>ROUND(6.57015886,2)</f>
        <v>6.57</v>
      </c>
      <c r="K1700" s="5">
        <f>ROUND(238720.15,0)</f>
        <v>238720</v>
      </c>
      <c r="L1700" s="7">
        <f>ROUND(0.0000829654395145613,4)</f>
        <v>1E-4</v>
      </c>
    </row>
    <row r="1701" spans="1:12">
      <c r="A1701" s="3" t="s">
        <v>3511</v>
      </c>
      <c r="B1701" s="4" t="s">
        <v>3512</v>
      </c>
      <c r="C1701" s="4" t="s">
        <v>430</v>
      </c>
      <c r="D1701" s="4" t="s">
        <v>407</v>
      </c>
      <c r="E1701" s="4" t="s">
        <v>35</v>
      </c>
      <c r="F1701" s="4" t="s">
        <v>21</v>
      </c>
      <c r="G1701" s="4" t="s">
        <v>408</v>
      </c>
      <c r="H1701" s="5">
        <f>ROUND(1804,0)</f>
        <v>1804</v>
      </c>
      <c r="I1701" s="6">
        <f>ROUND(14.55,2)</f>
        <v>14.55</v>
      </c>
      <c r="J1701" s="6">
        <f>ROUND(9.08595,2)</f>
        <v>9.09</v>
      </c>
      <c r="K1701" s="5">
        <f>ROUND(238489.83,0)</f>
        <v>238490</v>
      </c>
      <c r="L1701" s="7">
        <f>ROUND(0.0000828853934856484,4)</f>
        <v>1E-4</v>
      </c>
    </row>
    <row r="1702" spans="1:12">
      <c r="A1702" s="3" t="s">
        <v>3513</v>
      </c>
      <c r="B1702" s="4" t="s">
        <v>3514</v>
      </c>
      <c r="C1702" s="4" t="s">
        <v>400</v>
      </c>
      <c r="D1702" s="4" t="s">
        <v>407</v>
      </c>
      <c r="E1702" s="4" t="s">
        <v>35</v>
      </c>
      <c r="F1702" s="4" t="s">
        <v>21</v>
      </c>
      <c r="G1702" s="4" t="s">
        <v>408</v>
      </c>
      <c r="H1702" s="5">
        <f>ROUND(482,0)</f>
        <v>482</v>
      </c>
      <c r="I1702" s="6">
        <f>ROUND(54.44,2)</f>
        <v>54.44</v>
      </c>
      <c r="J1702" s="6">
        <f>ROUND(9.08595,2)</f>
        <v>9.09</v>
      </c>
      <c r="K1702" s="5">
        <f>ROUND(238416.05,0)</f>
        <v>238416</v>
      </c>
      <c r="L1702" s="7">
        <f>ROUND(0.0000828597517870847,4)</f>
        <v>1E-4</v>
      </c>
    </row>
    <row r="1703" spans="1:12">
      <c r="A1703" s="3" t="s">
        <v>3515</v>
      </c>
      <c r="B1703" s="4" t="s">
        <v>3516</v>
      </c>
      <c r="C1703" s="4" t="s">
        <v>534</v>
      </c>
      <c r="D1703" s="4" t="s">
        <v>489</v>
      </c>
      <c r="E1703" s="4" t="s">
        <v>490</v>
      </c>
      <c r="F1703" s="4" t="s">
        <v>45</v>
      </c>
      <c r="G1703" s="4" t="s">
        <v>408</v>
      </c>
      <c r="H1703" s="5">
        <f>ROUND(1000,0)</f>
        <v>1000</v>
      </c>
      <c r="I1703" s="6">
        <f>ROUND(2826,2)</f>
        <v>2826</v>
      </c>
      <c r="J1703" s="6">
        <f>ROUND(8.407077,2)</f>
        <v>8.41</v>
      </c>
      <c r="K1703" s="5">
        <f>ROUND(237584,0)</f>
        <v>237584</v>
      </c>
      <c r="L1703" s="7">
        <f>ROUND(0.000082570578904326,4)</f>
        <v>1E-4</v>
      </c>
    </row>
    <row r="1704" spans="1:12">
      <c r="A1704" s="3" t="s">
        <v>3517</v>
      </c>
      <c r="B1704" s="4" t="s">
        <v>3518</v>
      </c>
      <c r="C1704" s="4" t="s">
        <v>422</v>
      </c>
      <c r="D1704" s="4" t="s">
        <v>1652</v>
      </c>
      <c r="E1704" s="4" t="s">
        <v>1653</v>
      </c>
      <c r="F1704" s="4" t="s">
        <v>22</v>
      </c>
      <c r="G1704" s="4" t="s">
        <v>408</v>
      </c>
      <c r="H1704" s="5">
        <f>ROUND(8680,0)</f>
        <v>8680</v>
      </c>
      <c r="I1704" s="6">
        <f>ROUND(156,2)</f>
        <v>156</v>
      </c>
      <c r="J1704" s="6">
        <f>ROUND(0.17530276,2)</f>
        <v>0.18</v>
      </c>
      <c r="K1704" s="5">
        <f>ROUND(237373.96,0)</f>
        <v>237374</v>
      </c>
      <c r="L1704" s="7">
        <f>ROUND(0.0000824975810408627,4)</f>
        <v>1E-4</v>
      </c>
    </row>
    <row r="1705" spans="1:12">
      <c r="A1705" s="3" t="s">
        <v>3519</v>
      </c>
      <c r="B1705" s="4" t="s">
        <v>3520</v>
      </c>
      <c r="C1705" s="4" t="s">
        <v>400</v>
      </c>
      <c r="D1705" s="4" t="s">
        <v>407</v>
      </c>
      <c r="E1705" s="4" t="s">
        <v>35</v>
      </c>
      <c r="F1705" s="4" t="s">
        <v>21</v>
      </c>
      <c r="G1705" s="4" t="s">
        <v>408</v>
      </c>
      <c r="H1705" s="5">
        <f>ROUND(269,0)</f>
        <v>269</v>
      </c>
      <c r="I1705" s="6">
        <f>ROUND(96.7,2)</f>
        <v>96.7</v>
      </c>
      <c r="J1705" s="6">
        <f>ROUND(9.08595,2)</f>
        <v>9.09</v>
      </c>
      <c r="K1705" s="5">
        <f>ROUND(236346.46,0)</f>
        <v>236346</v>
      </c>
      <c r="L1705" s="7">
        <f>ROUND(0.0000821404809422694,4)</f>
        <v>1E-4</v>
      </c>
    </row>
    <row r="1706" spans="1:12">
      <c r="A1706" s="3" t="s">
        <v>3521</v>
      </c>
      <c r="B1706" s="4" t="s">
        <v>3522</v>
      </c>
      <c r="C1706" s="4" t="s">
        <v>422</v>
      </c>
      <c r="D1706" s="4" t="s">
        <v>486</v>
      </c>
      <c r="E1706" s="4" t="s">
        <v>30</v>
      </c>
      <c r="F1706" s="4" t="s">
        <v>20</v>
      </c>
      <c r="G1706" s="4" t="s">
        <v>408</v>
      </c>
      <c r="H1706" s="5">
        <f>ROUND(2858,0)</f>
        <v>2858</v>
      </c>
      <c r="I1706" s="6">
        <f>ROUND(736,2)</f>
        <v>736</v>
      </c>
      <c r="J1706" s="6">
        <f>ROUND(11.19645077,2)</f>
        <v>11.2</v>
      </c>
      <c r="K1706" s="5">
        <f>ROUND(235516,0)</f>
        <v>235516</v>
      </c>
      <c r="L1706" s="7">
        <f>ROUND(0.0000818518606523639,4)</f>
        <v>1E-4</v>
      </c>
    </row>
    <row r="1707" spans="1:12">
      <c r="A1707" s="3" t="s">
        <v>3523</v>
      </c>
      <c r="B1707" s="4" t="s">
        <v>3524</v>
      </c>
      <c r="C1707" s="4" t="s">
        <v>534</v>
      </c>
      <c r="D1707" s="4" t="s">
        <v>514</v>
      </c>
      <c r="E1707" s="4" t="s">
        <v>515</v>
      </c>
      <c r="F1707" s="4" t="s">
        <v>190</v>
      </c>
      <c r="G1707" s="4" t="s">
        <v>408</v>
      </c>
      <c r="H1707" s="5">
        <f>ROUND(19171,0)</f>
        <v>19171</v>
      </c>
      <c r="I1707" s="6">
        <f>ROUND(1.79,2)</f>
        <v>1.79</v>
      </c>
      <c r="J1707" s="6">
        <f>ROUND(6.86237833,2)</f>
        <v>6.86</v>
      </c>
      <c r="K1707" s="5">
        <f>ROUND(235489.99,0)</f>
        <v>235490</v>
      </c>
      <c r="L1707" s="7">
        <f>ROUND(0.0000818428210673864,4)</f>
        <v>1E-4</v>
      </c>
    </row>
    <row r="1708" spans="1:12">
      <c r="A1708" s="3" t="s">
        <v>3525</v>
      </c>
      <c r="B1708" s="4" t="s">
        <v>3526</v>
      </c>
      <c r="C1708" s="4" t="s">
        <v>389</v>
      </c>
      <c r="D1708" s="4" t="s">
        <v>407</v>
      </c>
      <c r="E1708" s="4" t="s">
        <v>35</v>
      </c>
      <c r="F1708" s="4" t="s">
        <v>21</v>
      </c>
      <c r="G1708" s="4" t="s">
        <v>408</v>
      </c>
      <c r="H1708" s="5">
        <f>ROUND(600,0)</f>
        <v>600</v>
      </c>
      <c r="I1708" s="6">
        <f>ROUND(43.16,2)</f>
        <v>43.16</v>
      </c>
      <c r="J1708" s="6">
        <f>ROUND(9.08595,2)</f>
        <v>9.09</v>
      </c>
      <c r="K1708" s="5">
        <f>ROUND(235289.76,0)</f>
        <v>235290</v>
      </c>
      <c r="L1708" s="7">
        <f>ROUND(0.0000817732325975652,4)</f>
        <v>1E-4</v>
      </c>
    </row>
    <row r="1709" spans="1:12">
      <c r="A1709" s="3" t="s">
        <v>3527</v>
      </c>
      <c r="B1709" s="4" t="s">
        <v>3528</v>
      </c>
      <c r="C1709" s="4" t="s">
        <v>400</v>
      </c>
      <c r="D1709" s="4" t="s">
        <v>2327</v>
      </c>
      <c r="E1709" s="4" t="s">
        <v>2328</v>
      </c>
      <c r="F1709" s="4" t="s">
        <v>18</v>
      </c>
      <c r="G1709" s="4" t="s">
        <v>408</v>
      </c>
      <c r="H1709" s="5">
        <f>ROUND(1111,0)</f>
        <v>1111</v>
      </c>
      <c r="I1709" s="6">
        <f>ROUND(21.29,2)</f>
        <v>21.29</v>
      </c>
      <c r="J1709" s="6">
        <f>ROUND(9.9055,2)</f>
        <v>9.91</v>
      </c>
      <c r="K1709" s="5">
        <f>ROUND(234296.67,0)</f>
        <v>234297</v>
      </c>
      <c r="L1709" s="7">
        <f>ROUND(0.0000814280914424196,4)</f>
        <v>1E-4</v>
      </c>
    </row>
    <row r="1710" spans="1:12">
      <c r="A1710" s="3" t="s">
        <v>3529</v>
      </c>
      <c r="B1710" s="4" t="s">
        <v>3530</v>
      </c>
      <c r="C1710" s="4" t="s">
        <v>422</v>
      </c>
      <c r="D1710" s="4" t="s">
        <v>623</v>
      </c>
      <c r="E1710" s="4" t="s">
        <v>624</v>
      </c>
      <c r="F1710" s="4" t="s">
        <v>18</v>
      </c>
      <c r="G1710" s="4" t="s">
        <v>408</v>
      </c>
      <c r="H1710" s="5">
        <f>ROUND(470,0)</f>
        <v>470</v>
      </c>
      <c r="I1710" s="6">
        <f>ROUND(50.28,2)</f>
        <v>50.28</v>
      </c>
      <c r="J1710" s="6">
        <f>ROUND(9.9055,2)</f>
        <v>9.91</v>
      </c>
      <c r="K1710" s="5">
        <f>ROUND(234082.81,0)</f>
        <v>234083</v>
      </c>
      <c r="L1710" s="7">
        <f>ROUND(0.0000813537659659377,4)</f>
        <v>1E-4</v>
      </c>
    </row>
    <row r="1711" spans="1:12">
      <c r="A1711" s="3" t="s">
        <v>3531</v>
      </c>
      <c r="B1711" s="4" t="s">
        <v>3532</v>
      </c>
      <c r="C1711" s="4" t="s">
        <v>389</v>
      </c>
      <c r="D1711" s="4" t="s">
        <v>486</v>
      </c>
      <c r="E1711" s="4" t="s">
        <v>30</v>
      </c>
      <c r="F1711" s="4" t="s">
        <v>20</v>
      </c>
      <c r="G1711" s="4" t="s">
        <v>408</v>
      </c>
      <c r="H1711" s="5">
        <f>ROUND(1574,0)</f>
        <v>1574</v>
      </c>
      <c r="I1711" s="6">
        <f>ROUND(1322.5,2)</f>
        <v>1322.5</v>
      </c>
      <c r="J1711" s="6">
        <f>ROUND(11.19645077,2)</f>
        <v>11.2</v>
      </c>
      <c r="K1711" s="5">
        <f>ROUND(233067,0)</f>
        <v>233067</v>
      </c>
      <c r="L1711" s="7">
        <f>ROUND(0.0000810007286412155,4)</f>
        <v>1E-4</v>
      </c>
    </row>
    <row r="1712" spans="1:12">
      <c r="A1712" s="3" t="s">
        <v>3533</v>
      </c>
      <c r="B1712" s="4" t="s">
        <v>3534</v>
      </c>
      <c r="C1712" s="4" t="s">
        <v>534</v>
      </c>
      <c r="D1712" s="4" t="s">
        <v>395</v>
      </c>
      <c r="E1712" s="4" t="s">
        <v>396</v>
      </c>
      <c r="F1712" s="4" t="s">
        <v>397</v>
      </c>
      <c r="G1712" s="4" t="s">
        <v>408</v>
      </c>
      <c r="H1712" s="5">
        <f>ROUND(6185,0)</f>
        <v>6185</v>
      </c>
      <c r="I1712" s="6">
        <f>ROUND(17.25,2)</f>
        <v>17.25</v>
      </c>
      <c r="J1712" s="6">
        <f>ROUND(2.18129969,2)</f>
        <v>2.1800000000000002</v>
      </c>
      <c r="K1712" s="5">
        <f>ROUND(232725.59,0)</f>
        <v>232726</v>
      </c>
      <c r="L1712" s="7">
        <f>ROUND(0.0000808820740965335,4)</f>
        <v>1E-4</v>
      </c>
    </row>
    <row r="1713" spans="1:12">
      <c r="A1713" s="3" t="s">
        <v>3535</v>
      </c>
      <c r="B1713" s="4" t="s">
        <v>3536</v>
      </c>
      <c r="C1713" s="4" t="s">
        <v>445</v>
      </c>
      <c r="D1713" s="4" t="s">
        <v>456</v>
      </c>
      <c r="E1713" s="4" t="s">
        <v>457</v>
      </c>
      <c r="F1713" s="4" t="s">
        <v>26</v>
      </c>
      <c r="G1713" s="4" t="s">
        <v>408</v>
      </c>
      <c r="H1713" s="5">
        <f>ROUND(2500,0)</f>
        <v>2500</v>
      </c>
      <c r="I1713" s="6">
        <f>ROUND(80,2)</f>
        <v>80</v>
      </c>
      <c r="J1713" s="6">
        <f>ROUND(1.15901246,2)</f>
        <v>1.1599999999999999</v>
      </c>
      <c r="K1713" s="5">
        <f>ROUND(231802.49,0)</f>
        <v>231802</v>
      </c>
      <c r="L1713" s="7">
        <f>ROUND(0.0000805612574532133,4)</f>
        <v>1E-4</v>
      </c>
    </row>
    <row r="1714" spans="1:12">
      <c r="A1714" s="3" t="s">
        <v>3537</v>
      </c>
      <c r="B1714" s="4" t="s">
        <v>3538</v>
      </c>
      <c r="C1714" s="4" t="s">
        <v>534</v>
      </c>
      <c r="D1714" s="4" t="s">
        <v>1221</v>
      </c>
      <c r="E1714" s="4" t="s">
        <v>1222</v>
      </c>
      <c r="F1714" s="4" t="s">
        <v>1223</v>
      </c>
      <c r="G1714" s="4" t="s">
        <v>408</v>
      </c>
      <c r="H1714" s="5">
        <f>ROUND(14700,0)</f>
        <v>14700</v>
      </c>
      <c r="I1714" s="6">
        <f>ROUND(2.4,2)</f>
        <v>2.4</v>
      </c>
      <c r="J1714" s="6">
        <f>ROUND(6.57015886,2)</f>
        <v>6.57</v>
      </c>
      <c r="K1714" s="5">
        <f>ROUND(231795.2,0)</f>
        <v>231795</v>
      </c>
      <c r="L1714" s="7">
        <f>ROUND(0.0000805587238671123,4)</f>
        <v>1E-4</v>
      </c>
    </row>
    <row r="1715" spans="1:12">
      <c r="A1715" s="3" t="s">
        <v>3539</v>
      </c>
      <c r="B1715" s="4" t="s">
        <v>3540</v>
      </c>
      <c r="C1715" s="4" t="s">
        <v>400</v>
      </c>
      <c r="D1715" s="4" t="s">
        <v>552</v>
      </c>
      <c r="E1715" s="4" t="s">
        <v>553</v>
      </c>
      <c r="F1715" s="4" t="s">
        <v>26</v>
      </c>
      <c r="G1715" s="4" t="s">
        <v>408</v>
      </c>
      <c r="H1715" s="5">
        <f>ROUND(11400,0)</f>
        <v>11400</v>
      </c>
      <c r="I1715" s="6">
        <f>ROUND(17.5,2)</f>
        <v>17.5</v>
      </c>
      <c r="J1715" s="6">
        <f>ROUND(1.15901246,2)</f>
        <v>1.1599999999999999</v>
      </c>
      <c r="K1715" s="5">
        <f>ROUND(231222.99,0)</f>
        <v>231223</v>
      </c>
      <c r="L1715" s="7">
        <f>ROUND(0.0000803598564730334,4)</f>
        <v>1E-4</v>
      </c>
    </row>
    <row r="1716" spans="1:12">
      <c r="A1716" s="3" t="s">
        <v>3541</v>
      </c>
      <c r="B1716" s="4" t="s">
        <v>3542</v>
      </c>
      <c r="C1716" s="4" t="s">
        <v>389</v>
      </c>
      <c r="D1716" s="4" t="s">
        <v>489</v>
      </c>
      <c r="E1716" s="4" t="s">
        <v>490</v>
      </c>
      <c r="F1716" s="4" t="s">
        <v>45</v>
      </c>
      <c r="G1716" s="4" t="s">
        <v>408</v>
      </c>
      <c r="H1716" s="5">
        <f>ROUND(1100,0)</f>
        <v>1100</v>
      </c>
      <c r="I1716" s="6">
        <f>ROUND(2492,2)</f>
        <v>2492</v>
      </c>
      <c r="J1716" s="6">
        <f>ROUND(8.407077,2)</f>
        <v>8.41</v>
      </c>
      <c r="K1716" s="5">
        <f>ROUND(230454.79,0)</f>
        <v>230455</v>
      </c>
      <c r="L1716" s="7">
        <f>ROUND(0.0000800928741900754,4)</f>
        <v>1E-4</v>
      </c>
    </row>
    <row r="1717" spans="1:12">
      <c r="A1717" s="3" t="s">
        <v>3543</v>
      </c>
      <c r="B1717" s="4" t="s">
        <v>3544</v>
      </c>
      <c r="C1717" s="4" t="s">
        <v>545</v>
      </c>
      <c r="D1717" s="4" t="s">
        <v>520</v>
      </c>
      <c r="E1717" s="4" t="s">
        <v>521</v>
      </c>
      <c r="F1717" s="4" t="s">
        <v>18</v>
      </c>
      <c r="G1717" s="4" t="s">
        <v>408</v>
      </c>
      <c r="H1717" s="5">
        <f>ROUND(272,0)</f>
        <v>272</v>
      </c>
      <c r="I1717" s="6">
        <f>ROUND(85.52,2)</f>
        <v>85.52</v>
      </c>
      <c r="J1717" s="6">
        <f>ROUND(9.9055,2)</f>
        <v>9.91</v>
      </c>
      <c r="K1717" s="5">
        <f>ROUND(230416.19,0)</f>
        <v>230416</v>
      </c>
      <c r="L1717" s="7">
        <f>ROUND(0.0000800794590428192,4)</f>
        <v>1E-4</v>
      </c>
    </row>
    <row r="1718" spans="1:12">
      <c r="A1718" s="3" t="s">
        <v>3545</v>
      </c>
      <c r="B1718" s="4" t="s">
        <v>3546</v>
      </c>
      <c r="C1718" s="4" t="s">
        <v>545</v>
      </c>
      <c r="D1718" s="4" t="s">
        <v>717</v>
      </c>
      <c r="E1718" s="4" t="s">
        <v>718</v>
      </c>
      <c r="F1718" s="4" t="s">
        <v>175</v>
      </c>
      <c r="G1718" s="4" t="s">
        <v>408</v>
      </c>
      <c r="H1718" s="5">
        <f>ROUND(18298,0)</f>
        <v>18298</v>
      </c>
      <c r="I1718" s="6">
        <f>ROUND(2098,2)</f>
        <v>2098</v>
      </c>
      <c r="J1718" s="6">
        <f>ROUND(0.59923836,2)</f>
        <v>0.6</v>
      </c>
      <c r="K1718" s="5">
        <f>ROUND(230042.84,0)</f>
        <v>230043</v>
      </c>
      <c r="L1718" s="7">
        <f>ROUND(0.0000799497039850968,4)</f>
        <v>1E-4</v>
      </c>
    </row>
    <row r="1719" spans="1:12">
      <c r="A1719" s="3" t="s">
        <v>3547</v>
      </c>
      <c r="B1719" s="4" t="s">
        <v>3548</v>
      </c>
      <c r="C1719" s="4" t="s">
        <v>534</v>
      </c>
      <c r="D1719" s="4" t="s">
        <v>1652</v>
      </c>
      <c r="E1719" s="4" t="s">
        <v>1653</v>
      </c>
      <c r="F1719" s="4" t="s">
        <v>22</v>
      </c>
      <c r="G1719" s="4" t="s">
        <v>408</v>
      </c>
      <c r="H1719" s="5">
        <f>ROUND(1350,0)</f>
        <v>1350</v>
      </c>
      <c r="I1719" s="6">
        <f>ROUND(971,2)</f>
        <v>971</v>
      </c>
      <c r="J1719" s="6">
        <f>ROUND(0.17530276,2)</f>
        <v>0.18</v>
      </c>
      <c r="K1719" s="5">
        <f>ROUND(229795.62,0)</f>
        <v>229796</v>
      </c>
      <c r="L1719" s="7">
        <f>ROUND(0.0000798637844849759,4)</f>
        <v>1E-4</v>
      </c>
    </row>
    <row r="1720" spans="1:12">
      <c r="A1720" s="3" t="s">
        <v>3549</v>
      </c>
      <c r="B1720" s="4" t="s">
        <v>3550</v>
      </c>
      <c r="C1720" s="4" t="s">
        <v>400</v>
      </c>
      <c r="D1720" s="4" t="s">
        <v>655</v>
      </c>
      <c r="E1720" s="4" t="s">
        <v>656</v>
      </c>
      <c r="F1720" s="4" t="s">
        <v>26</v>
      </c>
      <c r="G1720" s="4" t="s">
        <v>408</v>
      </c>
      <c r="H1720" s="5">
        <f>ROUND(13500,0)</f>
        <v>13500</v>
      </c>
      <c r="I1720" s="6">
        <f>ROUND(14.68,2)</f>
        <v>14.68</v>
      </c>
      <c r="J1720" s="6">
        <f>ROUND(1.15901246,2)</f>
        <v>1.1599999999999999</v>
      </c>
      <c r="K1720" s="5">
        <f>ROUND(229693.09,0)</f>
        <v>229693</v>
      </c>
      <c r="L1720" s="7">
        <f>ROUND(0.0000798281509345051,4)</f>
        <v>1E-4</v>
      </c>
    </row>
    <row r="1721" spans="1:12">
      <c r="A1721" s="3" t="s">
        <v>3551</v>
      </c>
      <c r="B1721" s="4" t="s">
        <v>3552</v>
      </c>
      <c r="C1721" s="4" t="s">
        <v>534</v>
      </c>
      <c r="D1721" s="4" t="s">
        <v>407</v>
      </c>
      <c r="E1721" s="4" t="s">
        <v>35</v>
      </c>
      <c r="F1721" s="4" t="s">
        <v>21</v>
      </c>
      <c r="G1721" s="4" t="s">
        <v>408</v>
      </c>
      <c r="H1721" s="5">
        <f>ROUND(300,0)</f>
        <v>300</v>
      </c>
      <c r="I1721" s="6">
        <f>ROUND(84.24,2)</f>
        <v>84.24</v>
      </c>
      <c r="J1721" s="6">
        <f>ROUND(9.08595,2)</f>
        <v>9.09</v>
      </c>
      <c r="K1721" s="5">
        <f>ROUND(229620.13,0)</f>
        <v>229620</v>
      </c>
      <c r="L1721" s="7">
        <f>ROUND(0.0000798027942209349,4)</f>
        <v>1E-4</v>
      </c>
    </row>
    <row r="1722" spans="1:12">
      <c r="A1722" s="3" t="s">
        <v>3553</v>
      </c>
      <c r="B1722" s="4" t="s">
        <v>3554</v>
      </c>
      <c r="C1722" s="4" t="s">
        <v>406</v>
      </c>
      <c r="D1722" s="4" t="s">
        <v>489</v>
      </c>
      <c r="E1722" s="4" t="s">
        <v>490</v>
      </c>
      <c r="F1722" s="4" t="s">
        <v>45</v>
      </c>
      <c r="G1722" s="4" t="s">
        <v>408</v>
      </c>
      <c r="H1722" s="5">
        <f>ROUND(1000,0)</f>
        <v>1000</v>
      </c>
      <c r="I1722" s="6">
        <f>ROUND(2728,2)</f>
        <v>2728</v>
      </c>
      <c r="J1722" s="6">
        <f>ROUND(8.407077,2)</f>
        <v>8.41</v>
      </c>
      <c r="K1722" s="5">
        <f>ROUND(229345.06,0)</f>
        <v>229345</v>
      </c>
      <c r="L1722" s="7">
        <f>ROUND(0.0000797071956573144,4)</f>
        <v>1E-4</v>
      </c>
    </row>
    <row r="1723" spans="1:12">
      <c r="A1723" s="3" t="s">
        <v>3555</v>
      </c>
      <c r="B1723" s="4" t="s">
        <v>3556</v>
      </c>
      <c r="C1723" s="4" t="s">
        <v>430</v>
      </c>
      <c r="D1723" s="4" t="s">
        <v>390</v>
      </c>
      <c r="E1723" s="4" t="s">
        <v>391</v>
      </c>
      <c r="F1723" s="4" t="s">
        <v>72</v>
      </c>
      <c r="G1723" s="4" t="s">
        <v>408</v>
      </c>
      <c r="H1723" s="5">
        <f>ROUND(2875,0)</f>
        <v>2875</v>
      </c>
      <c r="I1723" s="6">
        <f>ROUND(13.01,2)</f>
        <v>13.01</v>
      </c>
      <c r="J1723" s="6">
        <f>ROUND(6.12812423,2)</f>
        <v>6.13</v>
      </c>
      <c r="K1723" s="5">
        <f>ROUND(229214.83,0)</f>
        <v>229215</v>
      </c>
      <c r="L1723" s="7">
        <f>ROUND(0.0000796619351747452,4)</f>
        <v>1E-4</v>
      </c>
    </row>
    <row r="1724" spans="1:12">
      <c r="A1724" s="3" t="s">
        <v>3557</v>
      </c>
      <c r="B1724" s="4" t="s">
        <v>3558</v>
      </c>
      <c r="C1724" s="4" t="s">
        <v>422</v>
      </c>
      <c r="D1724" s="4" t="s">
        <v>789</v>
      </c>
      <c r="E1724" s="4" t="s">
        <v>790</v>
      </c>
      <c r="F1724" s="4" t="s">
        <v>791</v>
      </c>
      <c r="G1724" s="4" t="s">
        <v>408</v>
      </c>
      <c r="H1724" s="5">
        <f>ROUND(2680,0)</f>
        <v>2680</v>
      </c>
      <c r="I1724" s="6">
        <f>ROUND(667,2)</f>
        <v>667</v>
      </c>
      <c r="J1724" s="6">
        <f>ROUND(0.12820804,2)</f>
        <v>0.13</v>
      </c>
      <c r="K1724" s="5">
        <f>ROUND(229179.56,0)</f>
        <v>229180</v>
      </c>
      <c r="L1724" s="7">
        <f>ROUND(0.0000796496773445969,4)</f>
        <v>1E-4</v>
      </c>
    </row>
    <row r="1725" spans="1:12">
      <c r="A1725" s="3" t="s">
        <v>3559</v>
      </c>
      <c r="B1725" s="4" t="s">
        <v>3560</v>
      </c>
      <c r="C1725" s="4" t="s">
        <v>422</v>
      </c>
      <c r="D1725" s="4" t="s">
        <v>489</v>
      </c>
      <c r="E1725" s="4" t="s">
        <v>490</v>
      </c>
      <c r="F1725" s="4" t="s">
        <v>45</v>
      </c>
      <c r="G1725" s="4" t="s">
        <v>408</v>
      </c>
      <c r="H1725" s="5">
        <f>ROUND(500,0)</f>
        <v>500</v>
      </c>
      <c r="I1725" s="6">
        <f>ROUND(5440,2)</f>
        <v>5440</v>
      </c>
      <c r="J1725" s="6">
        <f>ROUND(8.407077,2)</f>
        <v>8.41</v>
      </c>
      <c r="K1725" s="5">
        <f>ROUND(228672.49,0)</f>
        <v>228672</v>
      </c>
      <c r="L1725" s="7">
        <f>ROUND(0.0000794734488803694,4)</f>
        <v>1E-4</v>
      </c>
    </row>
    <row r="1726" spans="1:12">
      <c r="A1726" s="3" t="s">
        <v>3561</v>
      </c>
      <c r="B1726" s="4" t="s">
        <v>3562</v>
      </c>
      <c r="C1726" s="4" t="s">
        <v>545</v>
      </c>
      <c r="D1726" s="4" t="s">
        <v>655</v>
      </c>
      <c r="E1726" s="4" t="s">
        <v>656</v>
      </c>
      <c r="F1726" s="4" t="s">
        <v>26</v>
      </c>
      <c r="G1726" s="4" t="s">
        <v>408</v>
      </c>
      <c r="H1726" s="5">
        <f>ROUND(28000,0)</f>
        <v>28000</v>
      </c>
      <c r="I1726" s="6">
        <f>ROUND(7.04,2)</f>
        <v>7.04</v>
      </c>
      <c r="J1726" s="6">
        <f>ROUND(1.15901246,2)</f>
        <v>1.1599999999999999</v>
      </c>
      <c r="K1726" s="5">
        <f>ROUND(228464.54,0)</f>
        <v>228465</v>
      </c>
      <c r="L1726" s="7">
        <f>ROUND(0.000079401177381097,4)</f>
        <v>1E-4</v>
      </c>
    </row>
    <row r="1727" spans="1:12">
      <c r="A1727" s="3" t="s">
        <v>3563</v>
      </c>
      <c r="B1727" s="4" t="s">
        <v>3564</v>
      </c>
      <c r="C1727" s="4" t="s">
        <v>389</v>
      </c>
      <c r="D1727" s="4" t="s">
        <v>489</v>
      </c>
      <c r="E1727" s="4" t="s">
        <v>490</v>
      </c>
      <c r="F1727" s="4" t="s">
        <v>45</v>
      </c>
      <c r="G1727" s="4" t="s">
        <v>408</v>
      </c>
      <c r="H1727" s="5">
        <f>ROUND(800,0)</f>
        <v>800</v>
      </c>
      <c r="I1727" s="6">
        <f>ROUND(3395,2)</f>
        <v>3395</v>
      </c>
      <c r="J1727" s="6">
        <f>ROUND(8.407077,2)</f>
        <v>8.41</v>
      </c>
      <c r="K1727" s="5">
        <f>ROUND(228336.21,0)</f>
        <v>228336</v>
      </c>
      <c r="L1727" s="7">
        <f>ROUND(0.0000793565772296104,4)</f>
        <v>1E-4</v>
      </c>
    </row>
    <row r="1728" spans="1:12">
      <c r="A1728" s="3" t="s">
        <v>3565</v>
      </c>
      <c r="B1728" s="4" t="s">
        <v>3566</v>
      </c>
      <c r="C1728" s="4" t="s">
        <v>400</v>
      </c>
      <c r="D1728" s="4" t="s">
        <v>520</v>
      </c>
      <c r="E1728" s="4" t="s">
        <v>521</v>
      </c>
      <c r="F1728" s="4" t="s">
        <v>18</v>
      </c>
      <c r="G1728" s="4" t="s">
        <v>408</v>
      </c>
      <c r="H1728" s="5">
        <f>ROUND(1299,0)</f>
        <v>1299</v>
      </c>
      <c r="I1728" s="6">
        <f>ROUND(17.73,2)</f>
        <v>17.73</v>
      </c>
      <c r="J1728" s="6">
        <f>ROUND(9.9055,2)</f>
        <v>9.91</v>
      </c>
      <c r="K1728" s="5">
        <f>ROUND(228136.24,0)</f>
        <v>228136</v>
      </c>
      <c r="L1728" s="7">
        <f>ROUND(0.0000792870791208846,4)</f>
        <v>1E-4</v>
      </c>
    </row>
    <row r="1729" spans="1:12">
      <c r="A1729" s="3" t="s">
        <v>3567</v>
      </c>
      <c r="B1729" s="4" t="s">
        <v>3568</v>
      </c>
      <c r="C1729" s="4" t="s">
        <v>389</v>
      </c>
      <c r="D1729" s="4" t="s">
        <v>407</v>
      </c>
      <c r="E1729" s="4" t="s">
        <v>35</v>
      </c>
      <c r="F1729" s="4" t="s">
        <v>21</v>
      </c>
      <c r="G1729" s="4" t="s">
        <v>408</v>
      </c>
      <c r="H1729" s="5">
        <f>ROUND(2200,0)</f>
        <v>2200</v>
      </c>
      <c r="I1729" s="6">
        <f>ROUND(11.39,2)</f>
        <v>11.39</v>
      </c>
      <c r="J1729" s="6">
        <f>ROUND(9.08595,2)</f>
        <v>9.09</v>
      </c>
      <c r="K1729" s="5">
        <f>ROUND(227675.74,0)</f>
        <v>227676</v>
      </c>
      <c r="L1729" s="7">
        <f>ROUND(0.0000791270357190333,4)</f>
        <v>1E-4</v>
      </c>
    </row>
    <row r="1730" spans="1:12">
      <c r="A1730" s="3" t="s">
        <v>3569</v>
      </c>
      <c r="B1730" s="4" t="s">
        <v>3570</v>
      </c>
      <c r="C1730" s="4" t="s">
        <v>400</v>
      </c>
      <c r="D1730" s="4" t="s">
        <v>789</v>
      </c>
      <c r="E1730" s="4" t="s">
        <v>790</v>
      </c>
      <c r="F1730" s="4" t="s">
        <v>791</v>
      </c>
      <c r="G1730" s="4" t="s">
        <v>408</v>
      </c>
      <c r="H1730" s="5">
        <f>ROUND(208,0)</f>
        <v>208</v>
      </c>
      <c r="I1730" s="6">
        <f>ROUND(8513,2)</f>
        <v>8513</v>
      </c>
      <c r="J1730" s="6">
        <f>ROUND(0.12820804,2)</f>
        <v>0.13</v>
      </c>
      <c r="K1730" s="5">
        <f>ROUND(227018.49,0)</f>
        <v>227018</v>
      </c>
      <c r="L1730" s="7">
        <f>ROUND(0.0000788986132958698,4)</f>
        <v>1E-4</v>
      </c>
    </row>
    <row r="1731" spans="1:12">
      <c r="A1731" s="3" t="s">
        <v>3571</v>
      </c>
      <c r="B1731" s="4" t="s">
        <v>3572</v>
      </c>
      <c r="C1731" s="4" t="s">
        <v>422</v>
      </c>
      <c r="D1731" s="4" t="s">
        <v>489</v>
      </c>
      <c r="E1731" s="4" t="s">
        <v>490</v>
      </c>
      <c r="F1731" s="4" t="s">
        <v>45</v>
      </c>
      <c r="G1731" s="4" t="s">
        <v>408</v>
      </c>
      <c r="H1731" s="5">
        <f>ROUND(1400,0)</f>
        <v>1400</v>
      </c>
      <c r="I1731" s="6">
        <f>ROUND(1928,2)</f>
        <v>1928</v>
      </c>
      <c r="J1731" s="6">
        <f>ROUND(8.407077,2)</f>
        <v>8.41</v>
      </c>
      <c r="K1731" s="5">
        <f>ROUND(226923.82,0)</f>
        <v>226924</v>
      </c>
      <c r="L1731" s="7">
        <f>ROUND(0.0000788657114308247,4)</f>
        <v>1E-4</v>
      </c>
    </row>
    <row r="1732" spans="1:12">
      <c r="A1732" s="3" t="s">
        <v>3573</v>
      </c>
      <c r="B1732" s="4" t="s">
        <v>3574</v>
      </c>
      <c r="C1732" s="4" t="s">
        <v>534</v>
      </c>
      <c r="D1732" s="4" t="s">
        <v>489</v>
      </c>
      <c r="E1732" s="4" t="s">
        <v>490</v>
      </c>
      <c r="F1732" s="4" t="s">
        <v>45</v>
      </c>
      <c r="G1732" s="4" t="s">
        <v>408</v>
      </c>
      <c r="H1732" s="5">
        <f>ROUND(400,0)</f>
        <v>400</v>
      </c>
      <c r="I1732" s="6">
        <f>ROUND(6730,2)</f>
        <v>6730</v>
      </c>
      <c r="J1732" s="6">
        <f>ROUND(8.407077,2)</f>
        <v>8.41</v>
      </c>
      <c r="K1732" s="5">
        <f>ROUND(226318.51,0)</f>
        <v>226319</v>
      </c>
      <c r="L1732" s="7">
        <f>ROUND(0.0000786553403742023,4)</f>
        <v>1E-4</v>
      </c>
    </row>
    <row r="1733" spans="1:12">
      <c r="A1733" s="3" t="s">
        <v>3575</v>
      </c>
      <c r="B1733" s="4" t="s">
        <v>3576</v>
      </c>
      <c r="C1733" s="4" t="s">
        <v>422</v>
      </c>
      <c r="D1733" s="4" t="s">
        <v>489</v>
      </c>
      <c r="E1733" s="4" t="s">
        <v>490</v>
      </c>
      <c r="F1733" s="4" t="s">
        <v>45</v>
      </c>
      <c r="G1733" s="4" t="s">
        <v>408</v>
      </c>
      <c r="H1733" s="5">
        <f>ROUND(800,0)</f>
        <v>800</v>
      </c>
      <c r="I1733" s="6">
        <f>ROUND(3360,2)</f>
        <v>3360</v>
      </c>
      <c r="J1733" s="6">
        <f>ROUND(8.407077,2)</f>
        <v>8.41</v>
      </c>
      <c r="K1733" s="5">
        <f>ROUND(225982.23,0)</f>
        <v>225982</v>
      </c>
      <c r="L1733" s="7">
        <f>ROUND(0.0000785384687234432,4)</f>
        <v>1E-4</v>
      </c>
    </row>
    <row r="1734" spans="1:12">
      <c r="A1734" s="3" t="s">
        <v>3577</v>
      </c>
      <c r="B1734" s="4" t="s">
        <v>3578</v>
      </c>
      <c r="C1734" s="4" t="s">
        <v>422</v>
      </c>
      <c r="D1734" s="4" t="s">
        <v>489</v>
      </c>
      <c r="E1734" s="4" t="s">
        <v>490</v>
      </c>
      <c r="F1734" s="4" t="s">
        <v>45</v>
      </c>
      <c r="G1734" s="4" t="s">
        <v>408</v>
      </c>
      <c r="H1734" s="5">
        <f>ROUND(600,0)</f>
        <v>600</v>
      </c>
      <c r="I1734" s="6">
        <f>ROUND(4455,2)</f>
        <v>4455</v>
      </c>
      <c r="J1734" s="6">
        <f>ROUND(8.407077,2)</f>
        <v>8.41</v>
      </c>
      <c r="K1734" s="5">
        <f>ROUND(224721.17,0)</f>
        <v>224721</v>
      </c>
      <c r="L1734" s="7">
        <f>ROUND(0.0000781001965576699,4)</f>
        <v>1E-4</v>
      </c>
    </row>
    <row r="1735" spans="1:12">
      <c r="A1735" s="3" t="s">
        <v>3579</v>
      </c>
      <c r="B1735" s="4" t="s">
        <v>3580</v>
      </c>
      <c r="C1735" s="4" t="s">
        <v>400</v>
      </c>
      <c r="D1735" s="4" t="s">
        <v>407</v>
      </c>
      <c r="E1735" s="4" t="s">
        <v>35</v>
      </c>
      <c r="F1735" s="4" t="s">
        <v>21</v>
      </c>
      <c r="G1735" s="4" t="s">
        <v>408</v>
      </c>
      <c r="H1735" s="5">
        <f>ROUND(342,0)</f>
        <v>342</v>
      </c>
      <c r="I1735" s="6">
        <f>ROUND(72.23,2)</f>
        <v>72.23</v>
      </c>
      <c r="J1735" s="6">
        <f>ROUND(9.08595,2)</f>
        <v>9.09</v>
      </c>
      <c r="K1735" s="5">
        <f>ROUND(224447.13,0)</f>
        <v>224447</v>
      </c>
      <c r="L1735" s="7">
        <f>ROUND(0.0000780049559630047,4)</f>
        <v>1E-4</v>
      </c>
    </row>
    <row r="1736" spans="1:12">
      <c r="A1736" s="3" t="s">
        <v>3581</v>
      </c>
      <c r="B1736" s="4" t="s">
        <v>3582</v>
      </c>
      <c r="C1736" s="4" t="s">
        <v>415</v>
      </c>
      <c r="D1736" s="4" t="s">
        <v>552</v>
      </c>
      <c r="E1736" s="4" t="s">
        <v>553</v>
      </c>
      <c r="F1736" s="4" t="s">
        <v>26</v>
      </c>
      <c r="G1736" s="4" t="s">
        <v>408</v>
      </c>
      <c r="H1736" s="5">
        <f>ROUND(44000,0)</f>
        <v>44000</v>
      </c>
      <c r="I1736" s="6">
        <f>ROUND(4.4,2)</f>
        <v>4.4000000000000004</v>
      </c>
      <c r="J1736" s="6">
        <f>ROUND(1.15901246,2)</f>
        <v>1.1599999999999999</v>
      </c>
      <c r="K1736" s="5">
        <f>ROUND(224384.81,0)</f>
        <v>224385</v>
      </c>
      <c r="L1736" s="7">
        <f>ROUND(0.0000779832971034968,4)</f>
        <v>1E-4</v>
      </c>
    </row>
    <row r="1737" spans="1:12">
      <c r="A1737" s="3" t="s">
        <v>3583</v>
      </c>
      <c r="B1737" s="4" t="s">
        <v>3584</v>
      </c>
      <c r="C1737" s="4" t="s">
        <v>415</v>
      </c>
      <c r="D1737" s="4" t="s">
        <v>456</v>
      </c>
      <c r="E1737" s="4" t="s">
        <v>457</v>
      </c>
      <c r="F1737" s="4" t="s">
        <v>21</v>
      </c>
      <c r="G1737" s="4" t="s">
        <v>408</v>
      </c>
      <c r="H1737" s="5">
        <f>ROUND(500,0)</f>
        <v>500</v>
      </c>
      <c r="I1737" s="6">
        <f>ROUND(49.31,2)</f>
        <v>49.31</v>
      </c>
      <c r="J1737" s="6">
        <f>ROUND(9.08595,2)</f>
        <v>9.09</v>
      </c>
      <c r="K1737" s="5">
        <f>ROUND(224014.1,0)</f>
        <v>224014</v>
      </c>
      <c r="L1737" s="7">
        <f>ROUND(0.0000778544595584365,4)</f>
        <v>1E-4</v>
      </c>
    </row>
    <row r="1738" spans="1:12">
      <c r="A1738" s="3" t="s">
        <v>3585</v>
      </c>
      <c r="B1738" s="4" t="s">
        <v>3586</v>
      </c>
      <c r="C1738" s="4" t="s">
        <v>534</v>
      </c>
      <c r="D1738" s="4" t="s">
        <v>407</v>
      </c>
      <c r="E1738" s="4" t="s">
        <v>35</v>
      </c>
      <c r="F1738" s="4" t="s">
        <v>21</v>
      </c>
      <c r="G1738" s="4" t="s">
        <v>408</v>
      </c>
      <c r="H1738" s="5">
        <f>ROUND(278,0)</f>
        <v>278</v>
      </c>
      <c r="I1738" s="6">
        <f>ROUND(88.41,2)</f>
        <v>88.41</v>
      </c>
      <c r="J1738" s="6">
        <f>ROUND(9.08595,2)</f>
        <v>9.09</v>
      </c>
      <c r="K1738" s="5">
        <f>ROUND(223314.3,0)</f>
        <v>223314</v>
      </c>
      <c r="L1738" s="7">
        <f>ROUND(0.0000776112491944505,4)</f>
        <v>1E-4</v>
      </c>
    </row>
    <row r="1739" spans="1:12">
      <c r="A1739" s="3" t="s">
        <v>3587</v>
      </c>
      <c r="B1739" s="4" t="s">
        <v>3588</v>
      </c>
      <c r="C1739" s="4" t="s">
        <v>534</v>
      </c>
      <c r="D1739" s="4" t="s">
        <v>407</v>
      </c>
      <c r="E1739" s="4" t="s">
        <v>35</v>
      </c>
      <c r="F1739" s="4" t="s">
        <v>21</v>
      </c>
      <c r="G1739" s="4" t="s">
        <v>408</v>
      </c>
      <c r="H1739" s="5">
        <f>ROUND(63,0)</f>
        <v>63</v>
      </c>
      <c r="I1739" s="6">
        <f>ROUND(390.04,2)</f>
        <v>390.04</v>
      </c>
      <c r="J1739" s="6">
        <f>ROUND(9.08595,2)</f>
        <v>9.09</v>
      </c>
      <c r="K1739" s="5">
        <f>ROUND(223264.69,0)</f>
        <v>223265</v>
      </c>
      <c r="L1739" s="7">
        <f>ROUND(0.0000775940076023422,4)</f>
        <v>1E-4</v>
      </c>
    </row>
    <row r="1740" spans="1:12">
      <c r="A1740" s="3" t="s">
        <v>3589</v>
      </c>
      <c r="B1740" s="4" t="s">
        <v>3590</v>
      </c>
      <c r="C1740" s="4" t="s">
        <v>534</v>
      </c>
      <c r="D1740" s="4" t="s">
        <v>423</v>
      </c>
      <c r="E1740" s="4" t="s">
        <v>25</v>
      </c>
      <c r="F1740" s="4" t="s">
        <v>16</v>
      </c>
      <c r="G1740" s="4" t="s">
        <v>408</v>
      </c>
      <c r="H1740" s="5">
        <f>ROUND(110,0)</f>
        <v>110</v>
      </c>
      <c r="I1740" s="6">
        <f>ROUND(222.6,2)</f>
        <v>222.6</v>
      </c>
      <c r="J1740" s="6">
        <f>ROUND(9.11185723,2)</f>
        <v>9.11</v>
      </c>
      <c r="K1740" s="5">
        <f>ROUND(223112.94,0)</f>
        <v>223113</v>
      </c>
      <c r="L1740" s="7">
        <f>ROUND(0.0000775412680014064,4)</f>
        <v>1E-4</v>
      </c>
    </row>
    <row r="1741" spans="1:12">
      <c r="A1741" s="3" t="s">
        <v>3591</v>
      </c>
      <c r="B1741" s="4" t="s">
        <v>3592</v>
      </c>
      <c r="C1741" s="4" t="s">
        <v>534</v>
      </c>
      <c r="D1741" s="4" t="s">
        <v>514</v>
      </c>
      <c r="E1741" s="4" t="s">
        <v>515</v>
      </c>
      <c r="F1741" s="4" t="s">
        <v>190</v>
      </c>
      <c r="G1741" s="4" t="s">
        <v>408</v>
      </c>
      <c r="H1741" s="5">
        <f>ROUND(1400,0)</f>
        <v>1400</v>
      </c>
      <c r="I1741" s="6">
        <f>ROUND(23.19,2)</f>
        <v>23.19</v>
      </c>
      <c r="J1741" s="6">
        <f>ROUND(6.86237833,2)</f>
        <v>6.86</v>
      </c>
      <c r="K1741" s="5">
        <f>ROUND(222793.97,0)</f>
        <v>222794</v>
      </c>
      <c r="L1741" s="7">
        <f>ROUND(0.0000774304123143521,4)</f>
        <v>1E-4</v>
      </c>
    </row>
    <row r="1742" spans="1:12">
      <c r="A1742" s="3" t="s">
        <v>3593</v>
      </c>
      <c r="B1742" s="4" t="s">
        <v>3594</v>
      </c>
      <c r="C1742" s="4" t="s">
        <v>493</v>
      </c>
      <c r="D1742" s="4" t="s">
        <v>390</v>
      </c>
      <c r="E1742" s="4" t="s">
        <v>391</v>
      </c>
      <c r="F1742" s="4" t="s">
        <v>72</v>
      </c>
      <c r="G1742" s="4" t="s">
        <v>408</v>
      </c>
      <c r="H1742" s="5">
        <f>ROUND(20011,0)</f>
        <v>20011</v>
      </c>
      <c r="I1742" s="6">
        <f>ROUND(1.815,2)</f>
        <v>1.82</v>
      </c>
      <c r="J1742" s="6">
        <f>ROUND(6.12812423,2)</f>
        <v>6.13</v>
      </c>
      <c r="K1742" s="5">
        <f>ROUND(222573.29,0)</f>
        <v>222573</v>
      </c>
      <c r="L1742" s="7">
        <f>ROUND(0.0000773537165968265,4)</f>
        <v>1E-4</v>
      </c>
    </row>
    <row r="1743" spans="1:12">
      <c r="A1743" s="3" t="s">
        <v>3595</v>
      </c>
      <c r="B1743" s="4" t="s">
        <v>3596</v>
      </c>
      <c r="C1743" s="4" t="s">
        <v>534</v>
      </c>
      <c r="D1743" s="4" t="s">
        <v>489</v>
      </c>
      <c r="E1743" s="4" t="s">
        <v>490</v>
      </c>
      <c r="F1743" s="4" t="s">
        <v>45</v>
      </c>
      <c r="G1743" s="4" t="s">
        <v>408</v>
      </c>
      <c r="H1743" s="5">
        <f>ROUND(2700,0)</f>
        <v>2700</v>
      </c>
      <c r="I1743" s="6">
        <f>ROUND(978,2)</f>
        <v>978</v>
      </c>
      <c r="J1743" s="6">
        <f>ROUND(8.407077,2)</f>
        <v>8.41</v>
      </c>
      <c r="K1743" s="5">
        <f>ROUND(221997.28,0)</f>
        <v>221997</v>
      </c>
      <c r="L1743" s="7">
        <f>ROUND(0.0000771535285405825,4)</f>
        <v>1E-4</v>
      </c>
    </row>
    <row r="1744" spans="1:12">
      <c r="A1744" s="3" t="s">
        <v>3597</v>
      </c>
      <c r="B1744" s="4" t="s">
        <v>3598</v>
      </c>
      <c r="C1744" s="4" t="s">
        <v>389</v>
      </c>
      <c r="D1744" s="4" t="s">
        <v>489</v>
      </c>
      <c r="E1744" s="4" t="s">
        <v>490</v>
      </c>
      <c r="F1744" s="4" t="s">
        <v>45</v>
      </c>
      <c r="G1744" s="4" t="s">
        <v>408</v>
      </c>
      <c r="H1744" s="5">
        <f>ROUND(500,0)</f>
        <v>500</v>
      </c>
      <c r="I1744" s="6">
        <f>ROUND(5280,2)</f>
        <v>5280</v>
      </c>
      <c r="J1744" s="6">
        <f>ROUND(8.407077,2)</f>
        <v>8.41</v>
      </c>
      <c r="K1744" s="5">
        <f>ROUND(221946.83,0)</f>
        <v>221947</v>
      </c>
      <c r="L1744" s="7">
        <f>ROUND(0.0000771359950126272,4)</f>
        <v>1E-4</v>
      </c>
    </row>
    <row r="1745" spans="1:12">
      <c r="A1745" s="3" t="s">
        <v>3599</v>
      </c>
      <c r="B1745" s="4" t="s">
        <v>3600</v>
      </c>
      <c r="C1745" s="4" t="s">
        <v>534</v>
      </c>
      <c r="D1745" s="4" t="s">
        <v>655</v>
      </c>
      <c r="E1745" s="4" t="s">
        <v>656</v>
      </c>
      <c r="F1745" s="4" t="s">
        <v>26</v>
      </c>
      <c r="G1745" s="4" t="s">
        <v>408</v>
      </c>
      <c r="H1745" s="5">
        <f>ROUND(35000,0)</f>
        <v>35000</v>
      </c>
      <c r="I1745" s="6">
        <f>ROUND(5.47,2)</f>
        <v>5.47</v>
      </c>
      <c r="J1745" s="6">
        <f>ROUND(1.15901246,2)</f>
        <v>1.1599999999999999</v>
      </c>
      <c r="K1745" s="5">
        <f>ROUND(221892.94,0)</f>
        <v>221893</v>
      </c>
      <c r="L1745" s="7">
        <f>ROUND(0.0000771172659378698,4)</f>
        <v>1E-4</v>
      </c>
    </row>
    <row r="1746" spans="1:12">
      <c r="A1746" s="3" t="s">
        <v>3601</v>
      </c>
      <c r="B1746" s="4" t="s">
        <v>3602</v>
      </c>
      <c r="C1746" s="4" t="s">
        <v>422</v>
      </c>
      <c r="D1746" s="4" t="s">
        <v>717</v>
      </c>
      <c r="E1746" s="4" t="s">
        <v>718</v>
      </c>
      <c r="F1746" s="4" t="s">
        <v>175</v>
      </c>
      <c r="G1746" s="4" t="s">
        <v>408</v>
      </c>
      <c r="H1746" s="5">
        <f>ROUND(3005,0)</f>
        <v>3005</v>
      </c>
      <c r="I1746" s="6">
        <f>ROUND(12264,2)</f>
        <v>12264</v>
      </c>
      <c r="J1746" s="6">
        <f>ROUND(0.59923836,2)</f>
        <v>0.6</v>
      </c>
      <c r="K1746" s="5">
        <f>ROUND(220839.23,0)</f>
        <v>220839</v>
      </c>
      <c r="L1746" s="7">
        <f>ROUND(0.000076751056745764,4)</f>
        <v>1E-4</v>
      </c>
    </row>
    <row r="1747" spans="1:12">
      <c r="A1747" s="3" t="s">
        <v>3603</v>
      </c>
      <c r="B1747" s="4" t="s">
        <v>3604</v>
      </c>
      <c r="C1747" s="4" t="s">
        <v>389</v>
      </c>
      <c r="D1747" s="4" t="s">
        <v>717</v>
      </c>
      <c r="E1747" s="4" t="s">
        <v>718</v>
      </c>
      <c r="F1747" s="4" t="s">
        <v>175</v>
      </c>
      <c r="G1747" s="4" t="s">
        <v>408</v>
      </c>
      <c r="H1747" s="5">
        <f>ROUND(6687,0)</f>
        <v>6687</v>
      </c>
      <c r="I1747" s="6">
        <f>ROUND(5508,2)</f>
        <v>5508</v>
      </c>
      <c r="J1747" s="6">
        <f>ROUND(0.59923836,2)</f>
        <v>0.6</v>
      </c>
      <c r="K1747" s="5">
        <f>ROUND(220711.45,0)</f>
        <v>220711</v>
      </c>
      <c r="L1747" s="7">
        <f>ROUND(0.0000767066477427487,4)</f>
        <v>1E-4</v>
      </c>
    </row>
    <row r="1748" spans="1:12">
      <c r="A1748" s="3" t="s">
        <v>3605</v>
      </c>
      <c r="B1748" s="4" t="s">
        <v>3606</v>
      </c>
      <c r="C1748" s="4" t="s">
        <v>534</v>
      </c>
      <c r="D1748" s="4" t="s">
        <v>1024</v>
      </c>
      <c r="E1748" s="4" t="s">
        <v>1025</v>
      </c>
      <c r="F1748" s="4" t="s">
        <v>1026</v>
      </c>
      <c r="G1748" s="4" t="s">
        <v>408</v>
      </c>
      <c r="H1748" s="5">
        <f>ROUND(1466,0)</f>
        <v>1466</v>
      </c>
      <c r="I1748" s="6">
        <f>ROUND(162.7,2)</f>
        <v>162.69999999999999</v>
      </c>
      <c r="J1748" s="6">
        <f>ROUND(0.92410673,2)</f>
        <v>0.92</v>
      </c>
      <c r="K1748" s="5">
        <f>ROUND(220416.27,0)</f>
        <v>220416</v>
      </c>
      <c r="L1748" s="7">
        <f>ROUND(0.0000766040600959333,4)</f>
        <v>1E-4</v>
      </c>
    </row>
    <row r="1749" spans="1:12">
      <c r="A1749" s="3" t="s">
        <v>3607</v>
      </c>
      <c r="B1749" s="4" t="s">
        <v>3608</v>
      </c>
      <c r="C1749" s="4" t="s">
        <v>534</v>
      </c>
      <c r="D1749" s="4" t="s">
        <v>496</v>
      </c>
      <c r="E1749" s="4" t="s">
        <v>497</v>
      </c>
      <c r="F1749" s="4" t="s">
        <v>21</v>
      </c>
      <c r="G1749" s="4" t="s">
        <v>408</v>
      </c>
      <c r="H1749" s="5">
        <f>ROUND(1100,0)</f>
        <v>1100</v>
      </c>
      <c r="I1749" s="6">
        <f>ROUND(22.04,2)</f>
        <v>22.04</v>
      </c>
      <c r="J1749" s="6">
        <f>ROUND(9.08595,2)</f>
        <v>9.09</v>
      </c>
      <c r="K1749" s="5">
        <f>ROUND(220279.77,0)</f>
        <v>220280</v>
      </c>
      <c r="L1749" s="7">
        <f>ROUND(0.0000765566205207917,4)</f>
        <v>1E-4</v>
      </c>
    </row>
    <row r="1750" spans="1:12">
      <c r="A1750" s="3" t="s">
        <v>3609</v>
      </c>
      <c r="B1750" s="4" t="s">
        <v>3610</v>
      </c>
      <c r="C1750" s="4" t="s">
        <v>422</v>
      </c>
      <c r="D1750" s="4" t="s">
        <v>655</v>
      </c>
      <c r="E1750" s="4" t="s">
        <v>656</v>
      </c>
      <c r="F1750" s="4" t="s">
        <v>26</v>
      </c>
      <c r="G1750" s="4" t="s">
        <v>408</v>
      </c>
      <c r="H1750" s="5">
        <f>ROUND(4000,0)</f>
        <v>4000</v>
      </c>
      <c r="I1750" s="6">
        <f>ROUND(47.3,2)</f>
        <v>47.3</v>
      </c>
      <c r="J1750" s="6">
        <f>ROUND(1.15901246,2)</f>
        <v>1.1599999999999999</v>
      </c>
      <c r="K1750" s="5">
        <f>ROUND(219285.16,0)</f>
        <v>219285</v>
      </c>
      <c r="L1750" s="7">
        <f>ROUND(0.0000762109511007801,4)</f>
        <v>1E-4</v>
      </c>
    </row>
    <row r="1751" spans="1:12">
      <c r="A1751" s="3" t="s">
        <v>3611</v>
      </c>
      <c r="B1751" s="4" t="s">
        <v>3612</v>
      </c>
      <c r="C1751" s="4" t="s">
        <v>406</v>
      </c>
      <c r="D1751" s="4" t="s">
        <v>407</v>
      </c>
      <c r="E1751" s="4" t="s">
        <v>35</v>
      </c>
      <c r="F1751" s="4" t="s">
        <v>21</v>
      </c>
      <c r="G1751" s="4" t="s">
        <v>408</v>
      </c>
      <c r="H1751" s="5">
        <f>ROUND(1077,0)</f>
        <v>1077</v>
      </c>
      <c r="I1751" s="6">
        <f>ROUND(22.395,2)</f>
        <v>22.4</v>
      </c>
      <c r="J1751" s="6">
        <f>ROUND(9.08595,2)</f>
        <v>9.09</v>
      </c>
      <c r="K1751" s="5">
        <f>ROUND(219147.84,0)</f>
        <v>219148</v>
      </c>
      <c r="L1751" s="7">
        <f>ROUND(0.000076163226540645,4)</f>
        <v>1E-4</v>
      </c>
    </row>
    <row r="1752" spans="1:12">
      <c r="A1752" s="3" t="s">
        <v>3613</v>
      </c>
      <c r="B1752" s="4" t="s">
        <v>3614</v>
      </c>
      <c r="C1752" s="4" t="s">
        <v>406</v>
      </c>
      <c r="D1752" s="4" t="s">
        <v>407</v>
      </c>
      <c r="E1752" s="4" t="s">
        <v>35</v>
      </c>
      <c r="F1752" s="4" t="s">
        <v>21</v>
      </c>
      <c r="G1752" s="4" t="s">
        <v>408</v>
      </c>
      <c r="H1752" s="5">
        <f>ROUND(500,0)</f>
        <v>500</v>
      </c>
      <c r="I1752" s="6">
        <f>ROUND(48.09,2)</f>
        <v>48.09</v>
      </c>
      <c r="J1752" s="6">
        <f>ROUND(9.08595,2)</f>
        <v>9.09</v>
      </c>
      <c r="K1752" s="5">
        <f>ROUND(218471.67,0)</f>
        <v>218472</v>
      </c>
      <c r="L1752" s="7">
        <f>ROUND(0.00007592822861007,4)</f>
        <v>1E-4</v>
      </c>
    </row>
    <row r="1753" spans="1:12">
      <c r="A1753" s="3" t="s">
        <v>3615</v>
      </c>
      <c r="B1753" s="4" t="s">
        <v>3616</v>
      </c>
      <c r="C1753" s="4" t="s">
        <v>534</v>
      </c>
      <c r="D1753" s="4" t="s">
        <v>771</v>
      </c>
      <c r="E1753" s="4" t="s">
        <v>772</v>
      </c>
      <c r="F1753" s="4" t="s">
        <v>18</v>
      </c>
      <c r="G1753" s="4" t="s">
        <v>408</v>
      </c>
      <c r="H1753" s="5">
        <f>ROUND(1119,0)</f>
        <v>1119</v>
      </c>
      <c r="I1753" s="6">
        <f>ROUND(19.7,2)</f>
        <v>19.7</v>
      </c>
      <c r="J1753" s="6">
        <f>ROUND(9.9055,2)</f>
        <v>9.91</v>
      </c>
      <c r="K1753" s="5">
        <f>ROUND(218359.81,0)</f>
        <v>218360</v>
      </c>
      <c r="L1753" s="7">
        <f>ROUND(0.0000758893524864411,4)</f>
        <v>1E-4</v>
      </c>
    </row>
    <row r="1754" spans="1:12">
      <c r="A1754" s="3" t="s">
        <v>3617</v>
      </c>
      <c r="B1754" s="4" t="s">
        <v>3618</v>
      </c>
      <c r="C1754" s="4" t="s">
        <v>545</v>
      </c>
      <c r="D1754" s="4" t="s">
        <v>514</v>
      </c>
      <c r="E1754" s="4" t="s">
        <v>515</v>
      </c>
      <c r="F1754" s="4" t="s">
        <v>190</v>
      </c>
      <c r="G1754" s="4" t="s">
        <v>408</v>
      </c>
      <c r="H1754" s="5">
        <f>ROUND(600,0)</f>
        <v>600</v>
      </c>
      <c r="I1754" s="6">
        <f>ROUND(53,2)</f>
        <v>53</v>
      </c>
      <c r="J1754" s="6">
        <f>ROUND(6.86237833,2)</f>
        <v>6.86</v>
      </c>
      <c r="K1754" s="5">
        <f>ROUND(218223.63,0)</f>
        <v>218224</v>
      </c>
      <c r="L1754" s="7">
        <f>ROUND(0.0000758420241249555,4)</f>
        <v>1E-4</v>
      </c>
    </row>
    <row r="1755" spans="1:12">
      <c r="A1755" s="3" t="s">
        <v>3619</v>
      </c>
      <c r="B1755" s="4" t="s">
        <v>3620</v>
      </c>
      <c r="C1755" s="4" t="s">
        <v>545</v>
      </c>
      <c r="D1755" s="4" t="s">
        <v>489</v>
      </c>
      <c r="E1755" s="4" t="s">
        <v>490</v>
      </c>
      <c r="F1755" s="4" t="s">
        <v>45</v>
      </c>
      <c r="G1755" s="4" t="s">
        <v>408</v>
      </c>
      <c r="H1755" s="5">
        <f>ROUND(1800,0)</f>
        <v>1800</v>
      </c>
      <c r="I1755" s="6">
        <f>ROUND(1442,2)</f>
        <v>1442</v>
      </c>
      <c r="J1755" s="6">
        <f>ROUND(8.407077,2)</f>
        <v>8.41</v>
      </c>
      <c r="K1755" s="5">
        <f>ROUND(218214.09,0)</f>
        <v>218214</v>
      </c>
      <c r="L1755" s="7">
        <f>ROUND(0.0000758387085678358,4)</f>
        <v>1E-4</v>
      </c>
    </row>
    <row r="1756" spans="1:12">
      <c r="A1756" s="3" t="s">
        <v>3621</v>
      </c>
      <c r="B1756" s="4" t="s">
        <v>3622</v>
      </c>
      <c r="C1756" s="4" t="s">
        <v>430</v>
      </c>
      <c r="D1756" s="4" t="s">
        <v>407</v>
      </c>
      <c r="E1756" s="4" t="s">
        <v>35</v>
      </c>
      <c r="F1756" s="4" t="s">
        <v>21</v>
      </c>
      <c r="G1756" s="4" t="s">
        <v>408</v>
      </c>
      <c r="H1756" s="5">
        <f>ROUND(2256,0)</f>
        <v>2256</v>
      </c>
      <c r="I1756" s="6">
        <f>ROUND(10.64,2)</f>
        <v>10.64</v>
      </c>
      <c r="J1756" s="6">
        <f>ROUND(9.08595,2)</f>
        <v>9.09</v>
      </c>
      <c r="K1756" s="5">
        <f>ROUND(218097.69,0)</f>
        <v>218098</v>
      </c>
      <c r="L1756" s="7">
        <f>ROUND(0.0000757982546004623,4)</f>
        <v>1E-4</v>
      </c>
    </row>
    <row r="1757" spans="1:12">
      <c r="A1757" s="3" t="s">
        <v>3623</v>
      </c>
      <c r="B1757" s="4" t="s">
        <v>3624</v>
      </c>
      <c r="C1757" s="4" t="s">
        <v>445</v>
      </c>
      <c r="D1757" s="4" t="s">
        <v>407</v>
      </c>
      <c r="E1757" s="4" t="s">
        <v>35</v>
      </c>
      <c r="F1757" s="4" t="s">
        <v>21</v>
      </c>
      <c r="G1757" s="4" t="s">
        <v>408</v>
      </c>
      <c r="H1757" s="5">
        <f>ROUND(300,0)</f>
        <v>300</v>
      </c>
      <c r="I1757" s="6">
        <f>ROUND(79.75,2)</f>
        <v>79.75</v>
      </c>
      <c r="J1757" s="6">
        <f>ROUND(9.08595,2)</f>
        <v>9.09</v>
      </c>
      <c r="K1757" s="5">
        <f>ROUND(217381.35,0)</f>
        <v>217381</v>
      </c>
      <c r="L1757" s="7">
        <f>ROUND(0.0000755492958806313,4)</f>
        <v>1E-4</v>
      </c>
    </row>
    <row r="1758" spans="1:12">
      <c r="A1758" s="3" t="s">
        <v>3625</v>
      </c>
      <c r="B1758" s="4" t="s">
        <v>3626</v>
      </c>
      <c r="C1758" s="4" t="s">
        <v>400</v>
      </c>
      <c r="D1758" s="4" t="s">
        <v>3627</v>
      </c>
      <c r="E1758" s="4" t="s">
        <v>3628</v>
      </c>
      <c r="F1758" s="4" t="s">
        <v>3629</v>
      </c>
      <c r="G1758" s="4" t="s">
        <v>408</v>
      </c>
      <c r="H1758" s="5">
        <f>ROUND(708,0)</f>
        <v>708</v>
      </c>
      <c r="I1758" s="6">
        <f>ROUND(800,2)</f>
        <v>800</v>
      </c>
      <c r="J1758" s="6">
        <f>ROUND(0.38369616,2)</f>
        <v>0.38</v>
      </c>
      <c r="K1758" s="5">
        <f>ROUND(217325.51,0)</f>
        <v>217326</v>
      </c>
      <c r="L1758" s="7">
        <f>ROUND(0.0000755298890976576,4)</f>
        <v>1E-4</v>
      </c>
    </row>
    <row r="1759" spans="1:12">
      <c r="A1759" s="3" t="s">
        <v>3630</v>
      </c>
      <c r="B1759" s="4" t="s">
        <v>3631</v>
      </c>
      <c r="C1759" s="4" t="s">
        <v>415</v>
      </c>
      <c r="D1759" s="4" t="s">
        <v>486</v>
      </c>
      <c r="E1759" s="4" t="s">
        <v>30</v>
      </c>
      <c r="F1759" s="4" t="s">
        <v>20</v>
      </c>
      <c r="G1759" s="4" t="s">
        <v>408</v>
      </c>
      <c r="H1759" s="5">
        <f>ROUND(3298,0)</f>
        <v>3298</v>
      </c>
      <c r="I1759" s="6">
        <f>ROUND(584.8,2)</f>
        <v>584.79999999999995</v>
      </c>
      <c r="J1759" s="6">
        <f>ROUND(11.19645077,2)</f>
        <v>11.2</v>
      </c>
      <c r="K1759" s="5">
        <f>ROUND(215942.59,0)</f>
        <v>215943</v>
      </c>
      <c r="L1759" s="7">
        <f>ROUND(0.0000750492653815051,4)</f>
        <v>1E-4</v>
      </c>
    </row>
    <row r="1760" spans="1:12">
      <c r="A1760" s="3" t="s">
        <v>3632</v>
      </c>
      <c r="B1760" s="4" t="s">
        <v>3633</v>
      </c>
      <c r="C1760" s="4" t="s">
        <v>389</v>
      </c>
      <c r="D1760" s="4" t="s">
        <v>489</v>
      </c>
      <c r="E1760" s="4" t="s">
        <v>490</v>
      </c>
      <c r="F1760" s="4" t="s">
        <v>45</v>
      </c>
      <c r="G1760" s="4" t="s">
        <v>408</v>
      </c>
      <c r="H1760" s="5">
        <f>ROUND(1900,0)</f>
        <v>1900</v>
      </c>
      <c r="I1760" s="6">
        <f>ROUND(1348,2)</f>
        <v>1348</v>
      </c>
      <c r="J1760" s="6">
        <f>ROUND(8.407077,2)</f>
        <v>8.41</v>
      </c>
      <c r="K1760" s="5">
        <f>ROUND(215322.06,0)</f>
        <v>215322</v>
      </c>
      <c r="L1760" s="7">
        <f>ROUND(0.0000748336047253688,4)</f>
        <v>1E-4</v>
      </c>
    </row>
    <row r="1761" spans="1:12">
      <c r="A1761" s="3" t="s">
        <v>3634</v>
      </c>
      <c r="B1761" s="4" t="s">
        <v>3635</v>
      </c>
      <c r="C1761" s="4" t="s">
        <v>566</v>
      </c>
      <c r="D1761" s="4" t="s">
        <v>520</v>
      </c>
      <c r="E1761" s="4" t="s">
        <v>521</v>
      </c>
      <c r="F1761" s="4" t="s">
        <v>18</v>
      </c>
      <c r="G1761" s="4" t="s">
        <v>408</v>
      </c>
      <c r="H1761" s="5">
        <f>ROUND(696,0)</f>
        <v>696</v>
      </c>
      <c r="I1761" s="6">
        <f>ROUND(31.16,2)</f>
        <v>31.16</v>
      </c>
      <c r="J1761" s="6">
        <f>ROUND(9.9055,2)</f>
        <v>9.91</v>
      </c>
      <c r="K1761" s="5">
        <f>ROUND(214824.14,0)</f>
        <v>214824</v>
      </c>
      <c r="L1761" s="7">
        <f>ROUND(0.0000746605562766178,4)</f>
        <v>1E-4</v>
      </c>
    </row>
    <row r="1762" spans="1:12">
      <c r="A1762" s="3" t="s">
        <v>3636</v>
      </c>
      <c r="B1762" s="4" t="s">
        <v>3637</v>
      </c>
      <c r="C1762" s="4" t="s">
        <v>400</v>
      </c>
      <c r="D1762" s="4" t="s">
        <v>552</v>
      </c>
      <c r="E1762" s="4" t="s">
        <v>553</v>
      </c>
      <c r="F1762" s="4" t="s">
        <v>26</v>
      </c>
      <c r="G1762" s="4" t="s">
        <v>408</v>
      </c>
      <c r="H1762" s="5">
        <f>ROUND(9600,0)</f>
        <v>9600</v>
      </c>
      <c r="I1762" s="6">
        <f>ROUND(19.3,2)</f>
        <v>19.3</v>
      </c>
      <c r="J1762" s="6">
        <f>ROUND(1.15901246,2)</f>
        <v>1.1599999999999999</v>
      </c>
      <c r="K1762" s="5">
        <f>ROUND(214741.83,0)</f>
        <v>214742</v>
      </c>
      <c r="L1762" s="7">
        <f>ROUND(0.0000746319500390361,4)</f>
        <v>1E-4</v>
      </c>
    </row>
    <row r="1763" spans="1:12">
      <c r="A1763" s="3" t="s">
        <v>3638</v>
      </c>
      <c r="B1763" s="4" t="s">
        <v>3639</v>
      </c>
      <c r="C1763" s="4" t="s">
        <v>534</v>
      </c>
      <c r="D1763" s="4" t="s">
        <v>739</v>
      </c>
      <c r="E1763" s="4" t="s">
        <v>740</v>
      </c>
      <c r="F1763" s="4" t="s">
        <v>741</v>
      </c>
      <c r="G1763" s="4" t="s">
        <v>408</v>
      </c>
      <c r="H1763" s="5">
        <f>ROUND(3585,0)</f>
        <v>3585</v>
      </c>
      <c r="I1763" s="6">
        <f>ROUND(7880,2)</f>
        <v>7880</v>
      </c>
      <c r="J1763" s="6">
        <f>ROUND(0.00759599,2)</f>
        <v>0.01</v>
      </c>
      <c r="K1763" s="5">
        <f>ROUND(214585.2,0)</f>
        <v>214585</v>
      </c>
      <c r="L1763" s="7">
        <f>ROUND(0.0000745775144298462,4)</f>
        <v>1E-4</v>
      </c>
    </row>
    <row r="1764" spans="1:12">
      <c r="A1764" s="3" t="s">
        <v>3640</v>
      </c>
      <c r="B1764" s="4" t="s">
        <v>3641</v>
      </c>
      <c r="C1764" s="4" t="s">
        <v>534</v>
      </c>
      <c r="D1764" s="4" t="s">
        <v>739</v>
      </c>
      <c r="E1764" s="4" t="s">
        <v>740</v>
      </c>
      <c r="F1764" s="4" t="s">
        <v>741</v>
      </c>
      <c r="G1764" s="4" t="s">
        <v>408</v>
      </c>
      <c r="H1764" s="5">
        <f>ROUND(181,0)</f>
        <v>181</v>
      </c>
      <c r="I1764" s="6">
        <f>ROUND(156000,2)</f>
        <v>156000</v>
      </c>
      <c r="J1764" s="6">
        <f>ROUND(0.00759599,2)</f>
        <v>0.01</v>
      </c>
      <c r="K1764" s="5">
        <f>ROUND(214480.37,0)</f>
        <v>214480</v>
      </c>
      <c r="L1764" s="7">
        <f>ROUND(0.0000745410815312228,4)</f>
        <v>1E-4</v>
      </c>
    </row>
    <row r="1765" spans="1:12">
      <c r="A1765" s="3" t="s">
        <v>3642</v>
      </c>
      <c r="B1765" s="4" t="s">
        <v>3643</v>
      </c>
      <c r="C1765" s="4" t="s">
        <v>400</v>
      </c>
      <c r="D1765" s="4" t="s">
        <v>486</v>
      </c>
      <c r="E1765" s="4" t="s">
        <v>30</v>
      </c>
      <c r="F1765" s="4" t="s">
        <v>20</v>
      </c>
      <c r="G1765" s="4" t="s">
        <v>408</v>
      </c>
      <c r="H1765" s="5">
        <f>ROUND(1955,0)</f>
        <v>1955</v>
      </c>
      <c r="I1765" s="6">
        <f>ROUND(979.4,2)</f>
        <v>979.4</v>
      </c>
      <c r="J1765" s="6">
        <f>ROUND(11.19645077,2)</f>
        <v>11.2</v>
      </c>
      <c r="K1765" s="5">
        <f>ROUND(214381.47,0)</f>
        <v>214381</v>
      </c>
      <c r="L1765" s="7">
        <f>ROUND(0.0000745067095606623,4)</f>
        <v>1E-4</v>
      </c>
    </row>
    <row r="1766" spans="1:12">
      <c r="A1766" s="3" t="s">
        <v>3644</v>
      </c>
      <c r="B1766" s="4" t="s">
        <v>3645</v>
      </c>
      <c r="C1766" s="4" t="s">
        <v>534</v>
      </c>
      <c r="D1766" s="4" t="s">
        <v>489</v>
      </c>
      <c r="E1766" s="4" t="s">
        <v>490</v>
      </c>
      <c r="F1766" s="4" t="s">
        <v>45</v>
      </c>
      <c r="G1766" s="4" t="s">
        <v>408</v>
      </c>
      <c r="H1766" s="5">
        <f>ROUND(900,0)</f>
        <v>900</v>
      </c>
      <c r="I1766" s="6">
        <f>ROUND(2833,2)</f>
        <v>2833</v>
      </c>
      <c r="J1766" s="6">
        <f>ROUND(8.407077,2)</f>
        <v>8.41</v>
      </c>
      <c r="K1766" s="5">
        <f>ROUND(214355.24,0)</f>
        <v>214355</v>
      </c>
      <c r="L1766" s="7">
        <f>ROUND(0.0000744975935162963,4)</f>
        <v>1E-4</v>
      </c>
    </row>
    <row r="1767" spans="1:12">
      <c r="A1767" s="3" t="s">
        <v>3646</v>
      </c>
      <c r="B1767" s="4" t="s">
        <v>3647</v>
      </c>
      <c r="C1767" s="4" t="s">
        <v>534</v>
      </c>
      <c r="D1767" s="4" t="s">
        <v>489</v>
      </c>
      <c r="E1767" s="4" t="s">
        <v>490</v>
      </c>
      <c r="F1767" s="4" t="s">
        <v>45</v>
      </c>
      <c r="G1767" s="4" t="s">
        <v>408</v>
      </c>
      <c r="H1767" s="5">
        <f>ROUND(300,0)</f>
        <v>300</v>
      </c>
      <c r="I1767" s="6">
        <f>ROUND(8490,2)</f>
        <v>8490</v>
      </c>
      <c r="J1767" s="6">
        <f>ROUND(8.407077,2)</f>
        <v>8.41</v>
      </c>
      <c r="K1767" s="5">
        <f>ROUND(214128.25,0)</f>
        <v>214128</v>
      </c>
      <c r="L1767" s="7">
        <f>ROUND(0.0000744187048044912,4)</f>
        <v>1E-4</v>
      </c>
    </row>
    <row r="1768" spans="1:12">
      <c r="A1768" s="3" t="s">
        <v>3648</v>
      </c>
      <c r="B1768" s="4" t="s">
        <v>3649</v>
      </c>
      <c r="C1768" s="4" t="s">
        <v>445</v>
      </c>
      <c r="D1768" s="4" t="s">
        <v>390</v>
      </c>
      <c r="E1768" s="4" t="s">
        <v>391</v>
      </c>
      <c r="F1768" s="4" t="s">
        <v>72</v>
      </c>
      <c r="G1768" s="4" t="s">
        <v>408</v>
      </c>
      <c r="H1768" s="5">
        <f>ROUND(538,0)</f>
        <v>538</v>
      </c>
      <c r="I1768" s="6">
        <f>ROUND(64.87,2)</f>
        <v>64.87</v>
      </c>
      <c r="J1768" s="6">
        <f>ROUND(6.12812423,2)</f>
        <v>6.13</v>
      </c>
      <c r="K1768" s="5">
        <f>ROUND(213871.9,0)</f>
        <v>213872</v>
      </c>
      <c r="L1768" s="7">
        <f>ROUND(0.0000743296122397473,4)</f>
        <v>1E-4</v>
      </c>
    </row>
    <row r="1769" spans="1:12">
      <c r="A1769" s="3" t="s">
        <v>3650</v>
      </c>
      <c r="B1769" s="4" t="s">
        <v>3651</v>
      </c>
      <c r="C1769" s="4" t="s">
        <v>534</v>
      </c>
      <c r="D1769" s="4" t="s">
        <v>489</v>
      </c>
      <c r="E1769" s="4" t="s">
        <v>490</v>
      </c>
      <c r="F1769" s="4" t="s">
        <v>45</v>
      </c>
      <c r="G1769" s="4" t="s">
        <v>408</v>
      </c>
      <c r="H1769" s="5">
        <f>ROUND(700,0)</f>
        <v>700</v>
      </c>
      <c r="I1769" s="6">
        <f>ROUND(3634,2)</f>
        <v>3634</v>
      </c>
      <c r="J1769" s="6">
        <f>ROUND(8.407077,2)</f>
        <v>8.41</v>
      </c>
      <c r="K1769" s="5">
        <f>ROUND(213859.22,0)</f>
        <v>213859</v>
      </c>
      <c r="L1769" s="7">
        <f>ROUND(0.0000743252053986279,4)</f>
        <v>1E-4</v>
      </c>
    </row>
    <row r="1770" spans="1:12">
      <c r="A1770" s="3" t="s">
        <v>3652</v>
      </c>
      <c r="B1770" s="4" t="s">
        <v>3653</v>
      </c>
      <c r="C1770" s="4" t="s">
        <v>406</v>
      </c>
      <c r="D1770" s="4" t="s">
        <v>489</v>
      </c>
      <c r="E1770" s="4" t="s">
        <v>490</v>
      </c>
      <c r="F1770" s="4" t="s">
        <v>45</v>
      </c>
      <c r="G1770" s="4" t="s">
        <v>408</v>
      </c>
      <c r="H1770" s="5">
        <f>ROUND(1300,0)</f>
        <v>1300</v>
      </c>
      <c r="I1770" s="6">
        <f>ROUND(1956,2)</f>
        <v>1956</v>
      </c>
      <c r="J1770" s="6">
        <f>ROUND(8.407077,2)</f>
        <v>8.41</v>
      </c>
      <c r="K1770" s="5">
        <f>ROUND(213775.15,0)</f>
        <v>213775</v>
      </c>
      <c r="L1770" s="7">
        <f>ROUND(0.0000742959874859381,4)</f>
        <v>1E-4</v>
      </c>
    </row>
    <row r="1771" spans="1:12">
      <c r="A1771" s="3" t="s">
        <v>3654</v>
      </c>
      <c r="B1771" s="4" t="s">
        <v>3655</v>
      </c>
      <c r="C1771" s="4" t="s">
        <v>400</v>
      </c>
      <c r="D1771" s="4" t="s">
        <v>489</v>
      </c>
      <c r="E1771" s="4" t="s">
        <v>490</v>
      </c>
      <c r="F1771" s="4" t="s">
        <v>45</v>
      </c>
      <c r="G1771" s="4" t="s">
        <v>408</v>
      </c>
      <c r="H1771" s="5">
        <f>ROUND(1100,0)</f>
        <v>1100</v>
      </c>
      <c r="I1771" s="6">
        <f>ROUND(2311,2)</f>
        <v>2311</v>
      </c>
      <c r="J1771" s="6">
        <f>ROUND(8.407077,2)</f>
        <v>8.41</v>
      </c>
      <c r="K1771" s="5">
        <f>ROUND(213716.3,0)</f>
        <v>213716</v>
      </c>
      <c r="L1771" s="7">
        <f>ROUND(0.0000742755345995126,4)</f>
        <v>1E-4</v>
      </c>
    </row>
    <row r="1772" spans="1:12">
      <c r="A1772" s="3" t="s">
        <v>3656</v>
      </c>
      <c r="B1772" s="4" t="s">
        <v>3657</v>
      </c>
      <c r="C1772" s="4" t="s">
        <v>545</v>
      </c>
      <c r="D1772" s="4" t="s">
        <v>541</v>
      </c>
      <c r="E1772" s="4" t="s">
        <v>542</v>
      </c>
      <c r="F1772" s="4" t="s">
        <v>18</v>
      </c>
      <c r="G1772" s="4" t="s">
        <v>408</v>
      </c>
      <c r="H1772" s="5">
        <f>ROUND(385,0)</f>
        <v>385</v>
      </c>
      <c r="I1772" s="6">
        <f>ROUND(56,2)</f>
        <v>56</v>
      </c>
      <c r="J1772" s="6">
        <f>ROUND(9.9055,2)</f>
        <v>9.91</v>
      </c>
      <c r="K1772" s="5">
        <f>ROUND(213562.58,0)</f>
        <v>213563</v>
      </c>
      <c r="L1772" s="7">
        <f>ROUND(0.000074222110339507,4)</f>
        <v>1E-4</v>
      </c>
    </row>
    <row r="1773" spans="1:12">
      <c r="A1773" s="3" t="s">
        <v>3658</v>
      </c>
      <c r="B1773" s="4" t="s">
        <v>3659</v>
      </c>
      <c r="C1773" s="4" t="s">
        <v>545</v>
      </c>
      <c r="D1773" s="4" t="s">
        <v>541</v>
      </c>
      <c r="E1773" s="4" t="s">
        <v>542</v>
      </c>
      <c r="F1773" s="4" t="s">
        <v>18</v>
      </c>
      <c r="G1773" s="4" t="s">
        <v>408</v>
      </c>
      <c r="H1773" s="5">
        <f>ROUND(1689,0)</f>
        <v>1689</v>
      </c>
      <c r="I1773" s="6">
        <f>ROUND(12.715,2)</f>
        <v>12.72</v>
      </c>
      <c r="J1773" s="6">
        <f>ROUND(9.9055,2)</f>
        <v>9.91</v>
      </c>
      <c r="K1773" s="5">
        <f>ROUND(212726.95,0)</f>
        <v>212727</v>
      </c>
      <c r="L1773" s="7">
        <f>ROUND(0.0000739316932539717,4)</f>
        <v>1E-4</v>
      </c>
    </row>
    <row r="1774" spans="1:12">
      <c r="A1774" s="3" t="s">
        <v>3660</v>
      </c>
      <c r="B1774" s="4" t="s">
        <v>3661</v>
      </c>
      <c r="C1774" s="4" t="s">
        <v>493</v>
      </c>
      <c r="D1774" s="4" t="s">
        <v>789</v>
      </c>
      <c r="E1774" s="4" t="s">
        <v>790</v>
      </c>
      <c r="F1774" s="4" t="s">
        <v>791</v>
      </c>
      <c r="G1774" s="4" t="s">
        <v>408</v>
      </c>
      <c r="H1774" s="5">
        <f>ROUND(8326,0)</f>
        <v>8326</v>
      </c>
      <c r="I1774" s="6">
        <f>ROUND(199.05,2)</f>
        <v>199.05</v>
      </c>
      <c r="J1774" s="6">
        <f>ROUND(0.12820804,2)</f>
        <v>0.13</v>
      </c>
      <c r="K1774" s="5">
        <f>ROUND(212477.94,0)</f>
        <v>212478</v>
      </c>
      <c r="L1774" s="7">
        <f>ROUND(0.0000738451516524625,4)</f>
        <v>1E-4</v>
      </c>
    </row>
    <row r="1775" spans="1:12">
      <c r="A1775" s="3" t="s">
        <v>3662</v>
      </c>
      <c r="B1775" s="4" t="s">
        <v>3663</v>
      </c>
      <c r="C1775" s="4" t="s">
        <v>534</v>
      </c>
      <c r="D1775" s="4" t="s">
        <v>489</v>
      </c>
      <c r="E1775" s="4" t="s">
        <v>490</v>
      </c>
      <c r="F1775" s="4" t="s">
        <v>45</v>
      </c>
      <c r="G1775" s="4" t="s">
        <v>408</v>
      </c>
      <c r="H1775" s="5">
        <f>ROUND(1400,0)</f>
        <v>1400</v>
      </c>
      <c r="I1775" s="6">
        <f>ROUND(1805,2)</f>
        <v>1805</v>
      </c>
      <c r="J1775" s="6">
        <f>ROUND(8.407077,2)</f>
        <v>8.41</v>
      </c>
      <c r="K1775" s="5">
        <f>ROUND(212446.84,0)</f>
        <v>212447</v>
      </c>
      <c r="L1775" s="7">
        <f>ROUND(0.000073834343075269,4)</f>
        <v>1E-4</v>
      </c>
    </row>
    <row r="1776" spans="1:12">
      <c r="A1776" s="3" t="s">
        <v>3664</v>
      </c>
      <c r="B1776" s="4" t="s">
        <v>3665</v>
      </c>
      <c r="C1776" s="4" t="s">
        <v>400</v>
      </c>
      <c r="D1776" s="4" t="s">
        <v>2277</v>
      </c>
      <c r="E1776" s="4" t="s">
        <v>2278</v>
      </c>
      <c r="F1776" s="4" t="s">
        <v>38</v>
      </c>
      <c r="G1776" s="4" t="s">
        <v>408</v>
      </c>
      <c r="H1776" s="5">
        <f>ROUND(16173,0)</f>
        <v>16173</v>
      </c>
      <c r="I1776" s="6">
        <f>ROUND(8.12,2)</f>
        <v>8.1199999999999992</v>
      </c>
      <c r="J1776" s="6">
        <f>ROUND(1.60912955,2)</f>
        <v>1.61</v>
      </c>
      <c r="K1776" s="5">
        <f>ROUND(211318.55,0)</f>
        <v>211319</v>
      </c>
      <c r="L1776" s="7">
        <f>ROUND(0.0000734422141504594,4)</f>
        <v>1E-4</v>
      </c>
    </row>
    <row r="1777" spans="1:12">
      <c r="A1777" s="3" t="s">
        <v>3666</v>
      </c>
      <c r="B1777" s="4" t="s">
        <v>3667</v>
      </c>
      <c r="C1777" s="4" t="s">
        <v>415</v>
      </c>
      <c r="D1777" s="4" t="s">
        <v>3241</v>
      </c>
      <c r="E1777" s="4" t="s">
        <v>3242</v>
      </c>
      <c r="F1777" s="4" t="s">
        <v>18</v>
      </c>
      <c r="G1777" s="4" t="s">
        <v>408</v>
      </c>
      <c r="H1777" s="5">
        <f>ROUND(1686,0)</f>
        <v>1686</v>
      </c>
      <c r="I1777" s="6">
        <f>ROUND(12.64,2)</f>
        <v>12.64</v>
      </c>
      <c r="J1777" s="6">
        <f>ROUND(9.9055,2)</f>
        <v>9.91</v>
      </c>
      <c r="K1777" s="5">
        <f>ROUND(211096.51,0)</f>
        <v>211097</v>
      </c>
      <c r="L1777" s="7">
        <f>ROUND(0.0000733650457748958,4)</f>
        <v>1E-4</v>
      </c>
    </row>
    <row r="1778" spans="1:12">
      <c r="A1778" s="3" t="s">
        <v>3668</v>
      </c>
      <c r="B1778" s="4" t="s">
        <v>3669</v>
      </c>
      <c r="C1778" s="4" t="s">
        <v>400</v>
      </c>
      <c r="D1778" s="4" t="s">
        <v>395</v>
      </c>
      <c r="E1778" s="4" t="s">
        <v>396</v>
      </c>
      <c r="F1778" s="4" t="s">
        <v>397</v>
      </c>
      <c r="G1778" s="4" t="s">
        <v>408</v>
      </c>
      <c r="H1778" s="5">
        <f>ROUND(2134,0)</f>
        <v>2134</v>
      </c>
      <c r="I1778" s="6">
        <f>ROUND(45.33,2)</f>
        <v>45.33</v>
      </c>
      <c r="J1778" s="6">
        <f>ROUND(2.18129969,2)</f>
        <v>2.1800000000000002</v>
      </c>
      <c r="K1778" s="5">
        <f>ROUND(211006.32,0)</f>
        <v>211006</v>
      </c>
      <c r="L1778" s="7">
        <f>ROUND(0.0000733337009010348,4)</f>
        <v>1E-4</v>
      </c>
    </row>
    <row r="1779" spans="1:12">
      <c r="A1779" s="3" t="s">
        <v>3670</v>
      </c>
      <c r="B1779" s="4" t="s">
        <v>3671</v>
      </c>
      <c r="C1779" s="4" t="s">
        <v>534</v>
      </c>
      <c r="D1779" s="4" t="s">
        <v>390</v>
      </c>
      <c r="E1779" s="4" t="s">
        <v>391</v>
      </c>
      <c r="F1779" s="4" t="s">
        <v>72</v>
      </c>
      <c r="G1779" s="4" t="s">
        <v>408</v>
      </c>
      <c r="H1779" s="5">
        <f>ROUND(1603,0)</f>
        <v>1603</v>
      </c>
      <c r="I1779" s="6">
        <f>ROUND(21.47,2)</f>
        <v>21.47</v>
      </c>
      <c r="J1779" s="6">
        <f>ROUND(6.12812423,2)</f>
        <v>6.13</v>
      </c>
      <c r="K1779" s="5">
        <f>ROUND(210908.04,0)</f>
        <v>210908</v>
      </c>
      <c r="L1779" s="7">
        <f>ROUND(0.0000732995444069329,4)</f>
        <v>1E-4</v>
      </c>
    </row>
    <row r="1780" spans="1:12">
      <c r="A1780" s="3" t="s">
        <v>3672</v>
      </c>
      <c r="B1780" s="4" t="s">
        <v>3673</v>
      </c>
      <c r="C1780" s="4" t="s">
        <v>422</v>
      </c>
      <c r="D1780" s="4" t="s">
        <v>2277</v>
      </c>
      <c r="E1780" s="4" t="s">
        <v>2278</v>
      </c>
      <c r="F1780" s="4" t="s">
        <v>38</v>
      </c>
      <c r="G1780" s="4" t="s">
        <v>408</v>
      </c>
      <c r="H1780" s="5">
        <f>ROUND(2668,0)</f>
        <v>2668</v>
      </c>
      <c r="I1780" s="6">
        <f>ROUND(49.12,2)</f>
        <v>49.12</v>
      </c>
      <c r="J1780" s="6">
        <f>ROUND(1.60912955,2)</f>
        <v>1.61</v>
      </c>
      <c r="K1780" s="5">
        <f>ROUND(210879.9,0)</f>
        <v>210880</v>
      </c>
      <c r="L1780" s="7">
        <f>ROUND(0.0000732897645560575,4)</f>
        <v>1E-4</v>
      </c>
    </row>
    <row r="1781" spans="1:12">
      <c r="A1781" s="3" t="s">
        <v>3674</v>
      </c>
      <c r="B1781" s="4" t="s">
        <v>3675</v>
      </c>
      <c r="C1781" s="4" t="s">
        <v>566</v>
      </c>
      <c r="D1781" s="4" t="s">
        <v>1228</v>
      </c>
      <c r="E1781" s="4" t="s">
        <v>1229</v>
      </c>
      <c r="F1781" s="4" t="s">
        <v>18</v>
      </c>
      <c r="G1781" s="4" t="s">
        <v>408</v>
      </c>
      <c r="H1781" s="5">
        <f>ROUND(2837,0)</f>
        <v>2837</v>
      </c>
      <c r="I1781" s="6">
        <f>ROUND(7.504,2)</f>
        <v>7.5</v>
      </c>
      <c r="J1781" s="6">
        <f>ROUND(9.9055,2)</f>
        <v>9.91</v>
      </c>
      <c r="K1781" s="5">
        <f>ROUND(210876.7,0)</f>
        <v>210877</v>
      </c>
      <c r="L1781" s="7">
        <f>ROUND(0.0000732886524194974,4)</f>
        <v>1E-4</v>
      </c>
    </row>
    <row r="1782" spans="1:12">
      <c r="A1782" s="3" t="s">
        <v>3676</v>
      </c>
      <c r="B1782" s="4" t="s">
        <v>3677</v>
      </c>
      <c r="C1782" s="4" t="s">
        <v>406</v>
      </c>
      <c r="D1782" s="4" t="s">
        <v>456</v>
      </c>
      <c r="E1782" s="4" t="s">
        <v>457</v>
      </c>
      <c r="F1782" s="4" t="s">
        <v>26</v>
      </c>
      <c r="G1782" s="4" t="s">
        <v>408</v>
      </c>
      <c r="H1782" s="5">
        <f>ROUND(1900,0)</f>
        <v>1900</v>
      </c>
      <c r="I1782" s="6">
        <f>ROUND(95.7,2)</f>
        <v>95.7</v>
      </c>
      <c r="J1782" s="6">
        <f>ROUND(1.15901246,2)</f>
        <v>1.1599999999999999</v>
      </c>
      <c r="K1782" s="5">
        <f>ROUND(210743.24,0)</f>
        <v>210743</v>
      </c>
      <c r="L1782" s="7">
        <f>ROUND(0.0000732422693740879,4)</f>
        <v>1E-4</v>
      </c>
    </row>
    <row r="1783" spans="1:12">
      <c r="A1783" s="3" t="s">
        <v>3678</v>
      </c>
      <c r="B1783" s="4" t="s">
        <v>3679</v>
      </c>
      <c r="C1783" s="4" t="s">
        <v>566</v>
      </c>
      <c r="D1783" s="4" t="s">
        <v>1217</v>
      </c>
      <c r="E1783" s="4" t="s">
        <v>1218</v>
      </c>
      <c r="F1783" s="4" t="s">
        <v>26</v>
      </c>
      <c r="G1783" s="4" t="s">
        <v>408</v>
      </c>
      <c r="H1783" s="5">
        <f>ROUND(7500,0)</f>
        <v>7500</v>
      </c>
      <c r="I1783" s="6">
        <f>ROUND(24.15,2)</f>
        <v>24.15</v>
      </c>
      <c r="J1783" s="6">
        <f>ROUND(1.15901246,2)</f>
        <v>1.1599999999999999</v>
      </c>
      <c r="K1783" s="5">
        <f>ROUND(209926.13,0)</f>
        <v>209926</v>
      </c>
      <c r="L1783" s="7">
        <f>ROUND(0.0000729582887788942,4)</f>
        <v>1E-4</v>
      </c>
    </row>
    <row r="1784" spans="1:12">
      <c r="A1784" s="3" t="s">
        <v>3680</v>
      </c>
      <c r="B1784" s="4" t="s">
        <v>3681</v>
      </c>
      <c r="C1784" s="4" t="s">
        <v>406</v>
      </c>
      <c r="D1784" s="4" t="s">
        <v>489</v>
      </c>
      <c r="E1784" s="4" t="s">
        <v>490</v>
      </c>
      <c r="F1784" s="4" t="s">
        <v>45</v>
      </c>
      <c r="G1784" s="4" t="s">
        <v>408</v>
      </c>
      <c r="H1784" s="5">
        <f>ROUND(400,0)</f>
        <v>400</v>
      </c>
      <c r="I1784" s="6">
        <f>ROUND(6240,2)</f>
        <v>6240</v>
      </c>
      <c r="J1784" s="6">
        <f>ROUND(8.407077,2)</f>
        <v>8.41</v>
      </c>
      <c r="K1784" s="5">
        <f>ROUND(209840.64,0)</f>
        <v>209841</v>
      </c>
      <c r="L1784" s="7">
        <f>ROUND(0.0000729285773556059,4)</f>
        <v>1E-4</v>
      </c>
    </row>
    <row r="1785" spans="1:12">
      <c r="A1785" s="3" t="s">
        <v>3682</v>
      </c>
      <c r="B1785" s="4" t="s">
        <v>3683</v>
      </c>
      <c r="C1785" s="4" t="s">
        <v>389</v>
      </c>
      <c r="D1785" s="4" t="s">
        <v>390</v>
      </c>
      <c r="E1785" s="4" t="s">
        <v>391</v>
      </c>
      <c r="F1785" s="4" t="s">
        <v>72</v>
      </c>
      <c r="G1785" s="4" t="s">
        <v>408</v>
      </c>
      <c r="H1785" s="5">
        <f>ROUND(7044,0)</f>
        <v>7044</v>
      </c>
      <c r="I1785" s="6">
        <f>ROUND(4.85,2)</f>
        <v>4.8499999999999996</v>
      </c>
      <c r="J1785" s="6">
        <f>ROUND(6.12812423,2)</f>
        <v>6.13</v>
      </c>
      <c r="K1785" s="5">
        <f>ROUND(209357.56,0)</f>
        <v>209358</v>
      </c>
      <c r="L1785" s="7">
        <f>ROUND(0.0000727606864401524,4)</f>
        <v>1E-4</v>
      </c>
    </row>
    <row r="1786" spans="1:12">
      <c r="A1786" s="3" t="s">
        <v>3684</v>
      </c>
      <c r="B1786" s="4" t="s">
        <v>3685</v>
      </c>
      <c r="C1786" s="4" t="s">
        <v>422</v>
      </c>
      <c r="D1786" s="4" t="s">
        <v>717</v>
      </c>
      <c r="E1786" s="4" t="s">
        <v>718</v>
      </c>
      <c r="F1786" s="4" t="s">
        <v>175</v>
      </c>
      <c r="G1786" s="4" t="s">
        <v>408</v>
      </c>
      <c r="H1786" s="5">
        <f>ROUND(1828,0)</f>
        <v>1828</v>
      </c>
      <c r="I1786" s="6">
        <f>ROUND(19101,2)</f>
        <v>19101</v>
      </c>
      <c r="J1786" s="6">
        <f>ROUND(0.59923836,2)</f>
        <v>0.6</v>
      </c>
      <c r="K1786" s="5">
        <f>ROUND(209233.83,0)</f>
        <v>209234</v>
      </c>
      <c r="L1786" s="7">
        <f>ROUND(0.0000727176849849709,4)</f>
        <v>1E-4</v>
      </c>
    </row>
    <row r="1787" spans="1:12">
      <c r="A1787" s="3" t="s">
        <v>3686</v>
      </c>
      <c r="B1787" s="4" t="s">
        <v>3687</v>
      </c>
      <c r="C1787" s="4" t="s">
        <v>545</v>
      </c>
      <c r="D1787" s="4" t="s">
        <v>456</v>
      </c>
      <c r="E1787" s="4" t="s">
        <v>457</v>
      </c>
      <c r="F1787" s="4" t="s">
        <v>26</v>
      </c>
      <c r="G1787" s="4" t="s">
        <v>408</v>
      </c>
      <c r="H1787" s="5">
        <f>ROUND(36000,0)</f>
        <v>36000</v>
      </c>
      <c r="I1787" s="6">
        <f>ROUND(5.01,2)</f>
        <v>5.01</v>
      </c>
      <c r="J1787" s="6">
        <f>ROUND(1.15901246,2)</f>
        <v>1.1599999999999999</v>
      </c>
      <c r="K1787" s="5">
        <f>ROUND(209039.49,0)</f>
        <v>209039</v>
      </c>
      <c r="L1787" s="7">
        <f>ROUND(0.0000726501435415056,4)</f>
        <v>1E-4</v>
      </c>
    </row>
    <row r="1788" spans="1:12">
      <c r="A1788" s="3" t="s">
        <v>3688</v>
      </c>
      <c r="B1788" s="4" t="s">
        <v>3689</v>
      </c>
      <c r="C1788" s="4" t="s">
        <v>400</v>
      </c>
      <c r="D1788" s="4" t="s">
        <v>1217</v>
      </c>
      <c r="E1788" s="4" t="s">
        <v>1218</v>
      </c>
      <c r="F1788" s="4" t="s">
        <v>21</v>
      </c>
      <c r="G1788" s="4" t="s">
        <v>408</v>
      </c>
      <c r="H1788" s="5">
        <f>ROUND(544,0)</f>
        <v>544</v>
      </c>
      <c r="I1788" s="6">
        <f>ROUND(42.06,2)</f>
        <v>42.06</v>
      </c>
      <c r="J1788" s="6">
        <f>ROUND(9.08595,2)</f>
        <v>9.09</v>
      </c>
      <c r="K1788" s="5">
        <f>ROUND(207892.35,0)</f>
        <v>207892</v>
      </c>
      <c r="L1788" s="7">
        <f>ROUND(0.0000722514634372717,4)</f>
        <v>1E-4</v>
      </c>
    </row>
    <row r="1789" spans="1:12">
      <c r="A1789" s="3" t="s">
        <v>3690</v>
      </c>
      <c r="B1789" s="4" t="s">
        <v>3691</v>
      </c>
      <c r="C1789" s="4" t="s">
        <v>415</v>
      </c>
      <c r="D1789" s="4" t="s">
        <v>541</v>
      </c>
      <c r="E1789" s="4" t="s">
        <v>542</v>
      </c>
      <c r="F1789" s="4" t="s">
        <v>18</v>
      </c>
      <c r="G1789" s="4" t="s">
        <v>408</v>
      </c>
      <c r="H1789" s="5">
        <f>ROUND(1659,0)</f>
        <v>1659</v>
      </c>
      <c r="I1789" s="6">
        <f>ROUND(12.64,2)</f>
        <v>12.64</v>
      </c>
      <c r="J1789" s="6">
        <f>ROUND(9.9055,2)</f>
        <v>9.91</v>
      </c>
      <c r="K1789" s="5">
        <f>ROUND(207715.96,0)</f>
        <v>207716</v>
      </c>
      <c r="L1789" s="7">
        <f>ROUND(0.0000721901603848231,4)</f>
        <v>1E-4</v>
      </c>
    </row>
    <row r="1790" spans="1:12">
      <c r="A1790" s="3" t="s">
        <v>3692</v>
      </c>
      <c r="B1790" s="4" t="s">
        <v>3693</v>
      </c>
      <c r="C1790" s="4" t="s">
        <v>430</v>
      </c>
      <c r="D1790" s="4" t="s">
        <v>789</v>
      </c>
      <c r="E1790" s="4" t="s">
        <v>790</v>
      </c>
      <c r="F1790" s="4" t="s">
        <v>791</v>
      </c>
      <c r="G1790" s="4" t="s">
        <v>408</v>
      </c>
      <c r="H1790" s="5">
        <f>ROUND(10990,0)</f>
        <v>10990</v>
      </c>
      <c r="I1790" s="6">
        <f>ROUND(147.4,2)</f>
        <v>147.4</v>
      </c>
      <c r="J1790" s="6">
        <f>ROUND(0.12820804,2)</f>
        <v>0.13</v>
      </c>
      <c r="K1790" s="5">
        <f>ROUND(207687.54,0)</f>
        <v>207688</v>
      </c>
      <c r="L1790" s="7">
        <f>ROUND(0.0000721802832219988,4)</f>
        <v>1E-4</v>
      </c>
    </row>
    <row r="1791" spans="1:12">
      <c r="A1791" s="3" t="s">
        <v>3694</v>
      </c>
      <c r="B1791" s="4" t="s">
        <v>3695</v>
      </c>
      <c r="C1791" s="4" t="s">
        <v>389</v>
      </c>
      <c r="D1791" s="4" t="s">
        <v>395</v>
      </c>
      <c r="E1791" s="4" t="s">
        <v>396</v>
      </c>
      <c r="F1791" s="4" t="s">
        <v>397</v>
      </c>
      <c r="G1791" s="4" t="s">
        <v>408</v>
      </c>
      <c r="H1791" s="5">
        <f>ROUND(1966,0)</f>
        <v>1966</v>
      </c>
      <c r="I1791" s="6">
        <f>ROUND(48.35,2)</f>
        <v>48.35</v>
      </c>
      <c r="J1791" s="6">
        <f>ROUND(2.18129969,2)</f>
        <v>2.1800000000000002</v>
      </c>
      <c r="K1791" s="5">
        <f>ROUND(207345.84,0)</f>
        <v>207346</v>
      </c>
      <c r="L1791" s="7">
        <f>ROUND(0.000072061527889941,4)</f>
        <v>1E-4</v>
      </c>
    </row>
    <row r="1792" spans="1:12">
      <c r="A1792" s="3" t="s">
        <v>3696</v>
      </c>
      <c r="B1792" s="4" t="s">
        <v>3697</v>
      </c>
      <c r="C1792" s="4" t="s">
        <v>534</v>
      </c>
      <c r="D1792" s="4" t="s">
        <v>1221</v>
      </c>
      <c r="E1792" s="4" t="s">
        <v>1222</v>
      </c>
      <c r="F1792" s="4" t="s">
        <v>1223</v>
      </c>
      <c r="G1792" s="4" t="s">
        <v>408</v>
      </c>
      <c r="H1792" s="5">
        <f>ROUND(6500,0)</f>
        <v>6500</v>
      </c>
      <c r="I1792" s="6">
        <f>ROUND(4.84,2)</f>
        <v>4.84</v>
      </c>
      <c r="J1792" s="6">
        <f>ROUND(6.57015886,2)</f>
        <v>6.57</v>
      </c>
      <c r="K1792" s="5">
        <f>ROUND(206697.2,0)</f>
        <v>206697</v>
      </c>
      <c r="L1792" s="7">
        <f>ROUND(0.0000718360978092096,4)</f>
        <v>1E-4</v>
      </c>
    </row>
    <row r="1793" spans="1:12">
      <c r="A1793" s="3" t="s">
        <v>3698</v>
      </c>
      <c r="B1793" s="4" t="s">
        <v>3699</v>
      </c>
      <c r="C1793" s="4" t="s">
        <v>534</v>
      </c>
      <c r="D1793" s="4" t="s">
        <v>577</v>
      </c>
      <c r="E1793" s="4" t="s">
        <v>578</v>
      </c>
      <c r="F1793" s="4" t="s">
        <v>18</v>
      </c>
      <c r="G1793" s="4" t="s">
        <v>408</v>
      </c>
      <c r="H1793" s="5">
        <f>ROUND(462,0)</f>
        <v>462</v>
      </c>
      <c r="I1793" s="6">
        <f>ROUND(45.09,2)</f>
        <v>45.09</v>
      </c>
      <c r="J1793" s="6">
        <f>ROUND(9.9055,2)</f>
        <v>9.91</v>
      </c>
      <c r="K1793" s="5">
        <f>ROUND(206347.22,0)</f>
        <v>206347</v>
      </c>
      <c r="L1793" s="7">
        <f>ROUND(0.0000717144648238026,4)</f>
        <v>1E-4</v>
      </c>
    </row>
    <row r="1794" spans="1:12">
      <c r="A1794" s="3" t="s">
        <v>3700</v>
      </c>
      <c r="B1794" s="4" t="s">
        <v>3701</v>
      </c>
      <c r="C1794" s="4" t="s">
        <v>534</v>
      </c>
      <c r="D1794" s="4" t="s">
        <v>1221</v>
      </c>
      <c r="E1794" s="4" t="s">
        <v>1222</v>
      </c>
      <c r="F1794" s="4" t="s">
        <v>1223</v>
      </c>
      <c r="G1794" s="4" t="s">
        <v>408</v>
      </c>
      <c r="H1794" s="5">
        <f>ROUND(32700,0)</f>
        <v>32700</v>
      </c>
      <c r="I1794" s="6">
        <f>ROUND(0.96,2)</f>
        <v>0.96</v>
      </c>
      <c r="J1794" s="6">
        <f>ROUND(6.57015886,2)</f>
        <v>6.57</v>
      </c>
      <c r="K1794" s="5">
        <f>ROUND(206250.43,0)</f>
        <v>206250</v>
      </c>
      <c r="L1794" s="7">
        <f>ROUND(0.0000716808261682864,4)</f>
        <v>1E-4</v>
      </c>
    </row>
    <row r="1795" spans="1:12">
      <c r="A1795" s="3" t="s">
        <v>3702</v>
      </c>
      <c r="B1795" s="4" t="s">
        <v>3703</v>
      </c>
      <c r="C1795" s="4" t="s">
        <v>400</v>
      </c>
      <c r="D1795" s="4" t="s">
        <v>486</v>
      </c>
      <c r="E1795" s="4" t="s">
        <v>30</v>
      </c>
      <c r="F1795" s="4" t="s">
        <v>20</v>
      </c>
      <c r="G1795" s="4" t="s">
        <v>408</v>
      </c>
      <c r="H1795" s="5">
        <f>ROUND(6129,0)</f>
        <v>6129</v>
      </c>
      <c r="I1795" s="6">
        <f>ROUND(300.2,2)</f>
        <v>300.2</v>
      </c>
      <c r="J1795" s="6">
        <f>ROUND(11.19645077,2)</f>
        <v>11.2</v>
      </c>
      <c r="K1795" s="5">
        <f>ROUND(206006.41,0)</f>
        <v>206006</v>
      </c>
      <c r="L1795" s="7">
        <f>ROUND(0.0000715960188047256,4)</f>
        <v>1E-4</v>
      </c>
    </row>
    <row r="1796" spans="1:12">
      <c r="A1796" s="3" t="s">
        <v>3704</v>
      </c>
      <c r="B1796" s="4" t="s">
        <v>3705</v>
      </c>
      <c r="C1796" s="4" t="s">
        <v>415</v>
      </c>
      <c r="D1796" s="4" t="s">
        <v>1724</v>
      </c>
      <c r="E1796" s="4" t="s">
        <v>1725</v>
      </c>
      <c r="F1796" s="4" t="s">
        <v>1726</v>
      </c>
      <c r="G1796" s="4" t="s">
        <v>408</v>
      </c>
      <c r="H1796" s="5">
        <f>ROUND(16900,0)</f>
        <v>16900</v>
      </c>
      <c r="I1796" s="6">
        <f>ROUND(5.6,2)</f>
        <v>5.6</v>
      </c>
      <c r="J1796" s="6">
        <f>ROUND(2.17002213,2)</f>
        <v>2.17</v>
      </c>
      <c r="K1796" s="5">
        <f>ROUND(205370.89,0)</f>
        <v>205371</v>
      </c>
      <c r="L1796" s="7">
        <f>ROUND(0.0000713751484838905,4)</f>
        <v>1E-4</v>
      </c>
    </row>
    <row r="1797" spans="1:12">
      <c r="A1797" s="3" t="s">
        <v>3706</v>
      </c>
      <c r="B1797" s="4" t="s">
        <v>3707</v>
      </c>
      <c r="C1797" s="4" t="s">
        <v>389</v>
      </c>
      <c r="D1797" s="4" t="s">
        <v>489</v>
      </c>
      <c r="E1797" s="4" t="s">
        <v>490</v>
      </c>
      <c r="F1797" s="4" t="s">
        <v>45</v>
      </c>
      <c r="G1797" s="4" t="s">
        <v>408</v>
      </c>
      <c r="H1797" s="5">
        <f>ROUND(1900,0)</f>
        <v>1900</v>
      </c>
      <c r="I1797" s="6">
        <f>ROUND(1282,2)</f>
        <v>1282</v>
      </c>
      <c r="J1797" s="6">
        <f>ROUND(8.407077,2)</f>
        <v>8.41</v>
      </c>
      <c r="K1797" s="5">
        <f>ROUND(204779.58,0)</f>
        <v>204780</v>
      </c>
      <c r="L1797" s="7">
        <f>ROUND(0.0000711696430247185,4)</f>
        <v>1E-4</v>
      </c>
    </row>
    <row r="1798" spans="1:12">
      <c r="A1798" s="3" t="s">
        <v>3708</v>
      </c>
      <c r="B1798" s="4" t="s">
        <v>3709</v>
      </c>
      <c r="C1798" s="4" t="s">
        <v>493</v>
      </c>
      <c r="D1798" s="4" t="s">
        <v>1119</v>
      </c>
      <c r="E1798" s="4" t="s">
        <v>1120</v>
      </c>
      <c r="F1798" s="4" t="s">
        <v>95</v>
      </c>
      <c r="G1798" s="4" t="s">
        <v>408</v>
      </c>
      <c r="H1798" s="5">
        <f>ROUND(5664,0)</f>
        <v>5664</v>
      </c>
      <c r="I1798" s="6">
        <f>ROUND(78.44,2)</f>
        <v>78.44</v>
      </c>
      <c r="J1798" s="6">
        <f>ROUND(0.4601869,2)</f>
        <v>0.46</v>
      </c>
      <c r="K1798" s="5">
        <f>ROUND(204453.75,0)</f>
        <v>204454</v>
      </c>
      <c r="L1798" s="7">
        <f>ROUND(0.0000710564031949135,4)</f>
        <v>1E-4</v>
      </c>
    </row>
    <row r="1799" spans="1:12">
      <c r="A1799" s="3" t="s">
        <v>3710</v>
      </c>
      <c r="B1799" s="4" t="s">
        <v>3711</v>
      </c>
      <c r="C1799" s="4" t="s">
        <v>430</v>
      </c>
      <c r="D1799" s="4" t="s">
        <v>2447</v>
      </c>
      <c r="E1799" s="4" t="s">
        <v>2448</v>
      </c>
      <c r="F1799" s="4" t="s">
        <v>250</v>
      </c>
      <c r="G1799" s="4" t="s">
        <v>408</v>
      </c>
      <c r="H1799" s="5">
        <f>ROUND(1018,0)</f>
        <v>1018</v>
      </c>
      <c r="I1799" s="6">
        <f>ROUND(88.56,2)</f>
        <v>88.56</v>
      </c>
      <c r="J1799" s="6">
        <f>ROUND(2.26631585,2)</f>
        <v>2.27</v>
      </c>
      <c r="K1799" s="5">
        <f>ROUND(204317.62,0)</f>
        <v>204318</v>
      </c>
      <c r="L1799" s="7">
        <f>ROUND(0.0000710090922105617,4)</f>
        <v>1E-4</v>
      </c>
    </row>
    <row r="1800" spans="1:12">
      <c r="A1800" s="3" t="s">
        <v>3712</v>
      </c>
      <c r="B1800" s="4" t="s">
        <v>3713</v>
      </c>
      <c r="C1800" s="4" t="s">
        <v>493</v>
      </c>
      <c r="D1800" s="4" t="s">
        <v>655</v>
      </c>
      <c r="E1800" s="4" t="s">
        <v>656</v>
      </c>
      <c r="F1800" s="4" t="s">
        <v>26</v>
      </c>
      <c r="G1800" s="4" t="s">
        <v>408</v>
      </c>
      <c r="H1800" s="5">
        <f>ROUND(89000,0)</f>
        <v>89000</v>
      </c>
      <c r="I1800" s="6">
        <f>ROUND(1.98,2)</f>
        <v>1.98</v>
      </c>
      <c r="J1800" s="6">
        <f>ROUND(1.15901246,2)</f>
        <v>1.1599999999999999</v>
      </c>
      <c r="K1800" s="5">
        <f>ROUND(204241.18,0)</f>
        <v>204241</v>
      </c>
      <c r="L1800" s="7">
        <f>ROUND(0.0000709825260484824,4)</f>
        <v>1E-4</v>
      </c>
    </row>
    <row r="1801" spans="1:12">
      <c r="A1801" s="3" t="s">
        <v>3714</v>
      </c>
      <c r="B1801" s="4" t="s">
        <v>3715</v>
      </c>
      <c r="C1801" s="4" t="s">
        <v>422</v>
      </c>
      <c r="D1801" s="4" t="s">
        <v>489</v>
      </c>
      <c r="E1801" s="4" t="s">
        <v>490</v>
      </c>
      <c r="F1801" s="4" t="s">
        <v>45</v>
      </c>
      <c r="G1801" s="4" t="s">
        <v>408</v>
      </c>
      <c r="H1801" s="5">
        <f>ROUND(1000,0)</f>
        <v>1000</v>
      </c>
      <c r="I1801" s="6">
        <f>ROUND(2424,2)</f>
        <v>2424</v>
      </c>
      <c r="J1801" s="6">
        <f>ROUND(8.407077,2)</f>
        <v>8.41</v>
      </c>
      <c r="K1801" s="5">
        <f>ROUND(203787.55,0)</f>
        <v>203788</v>
      </c>
      <c r="L1801" s="7">
        <f>ROUND(0.0000708248702648085,4)</f>
        <v>1E-4</v>
      </c>
    </row>
    <row r="1802" spans="1:12">
      <c r="A1802" s="3" t="s">
        <v>3716</v>
      </c>
      <c r="B1802" s="4" t="s">
        <v>3717</v>
      </c>
      <c r="C1802" s="4" t="s">
        <v>445</v>
      </c>
      <c r="D1802" s="4" t="s">
        <v>1724</v>
      </c>
      <c r="E1802" s="4" t="s">
        <v>1725</v>
      </c>
      <c r="F1802" s="4" t="s">
        <v>1726</v>
      </c>
      <c r="G1802" s="4" t="s">
        <v>408</v>
      </c>
      <c r="H1802" s="5">
        <f>ROUND(16500,0)</f>
        <v>16500</v>
      </c>
      <c r="I1802" s="6">
        <f>ROUND(5.68,2)</f>
        <v>5.68</v>
      </c>
      <c r="J1802" s="6">
        <f>ROUND(2.17002213,2)</f>
        <v>2.17</v>
      </c>
      <c r="K1802" s="5">
        <f>ROUND(203374.47,0)</f>
        <v>203374</v>
      </c>
      <c r="L1802" s="7">
        <f>ROUND(0.0000706813073366072,4)</f>
        <v>1E-4</v>
      </c>
    </row>
    <row r="1803" spans="1:12">
      <c r="A1803" s="3" t="s">
        <v>3718</v>
      </c>
      <c r="B1803" s="4" t="s">
        <v>3719</v>
      </c>
      <c r="C1803" s="4" t="s">
        <v>406</v>
      </c>
      <c r="D1803" s="4" t="s">
        <v>489</v>
      </c>
      <c r="E1803" s="4" t="s">
        <v>490</v>
      </c>
      <c r="F1803" s="4" t="s">
        <v>45</v>
      </c>
      <c r="G1803" s="4" t="s">
        <v>408</v>
      </c>
      <c r="H1803" s="5">
        <f>ROUND(600,0)</f>
        <v>600</v>
      </c>
      <c r="I1803" s="6">
        <f>ROUND(4010,2)</f>
        <v>4010</v>
      </c>
      <c r="J1803" s="6">
        <f>ROUND(8.407077,2)</f>
        <v>8.41</v>
      </c>
      <c r="K1803" s="5">
        <f>ROUND(202274.27,0)</f>
        <v>202274</v>
      </c>
      <c r="L1803" s="7">
        <f>ROUND(0.0000702989408855392,4)</f>
        <v>1E-4</v>
      </c>
    </row>
    <row r="1804" spans="1:12">
      <c r="A1804" s="3" t="s">
        <v>3720</v>
      </c>
      <c r="B1804" s="4" t="s">
        <v>3721</v>
      </c>
      <c r="C1804" s="4" t="s">
        <v>566</v>
      </c>
      <c r="D1804" s="4" t="s">
        <v>390</v>
      </c>
      <c r="E1804" s="4" t="s">
        <v>391</v>
      </c>
      <c r="F1804" s="4" t="s">
        <v>72</v>
      </c>
      <c r="G1804" s="4" t="s">
        <v>408</v>
      </c>
      <c r="H1804" s="5">
        <f>ROUND(1879,0)</f>
        <v>1879</v>
      </c>
      <c r="I1804" s="6">
        <f>ROUND(17.56,2)</f>
        <v>17.559999999999999</v>
      </c>
      <c r="J1804" s="6">
        <f>ROUND(6.12812423,2)</f>
        <v>6.13</v>
      </c>
      <c r="K1804" s="5">
        <f>ROUND(202198.93,0)</f>
        <v>202199</v>
      </c>
      <c r="L1804" s="7">
        <f>ROUND(0.0000702727570204024,4)</f>
        <v>1E-4</v>
      </c>
    </row>
    <row r="1805" spans="1:12">
      <c r="A1805" s="3" t="s">
        <v>3722</v>
      </c>
      <c r="B1805" s="4" t="s">
        <v>3723</v>
      </c>
      <c r="C1805" s="4" t="s">
        <v>389</v>
      </c>
      <c r="D1805" s="4" t="s">
        <v>489</v>
      </c>
      <c r="E1805" s="4" t="s">
        <v>490</v>
      </c>
      <c r="F1805" s="4" t="s">
        <v>45</v>
      </c>
      <c r="G1805" s="4" t="s">
        <v>408</v>
      </c>
      <c r="H1805" s="5">
        <f>ROUND(1900,0)</f>
        <v>1900</v>
      </c>
      <c r="I1805" s="6">
        <f>ROUND(1264,2)</f>
        <v>1264</v>
      </c>
      <c r="J1805" s="6">
        <f>ROUND(8.407077,2)</f>
        <v>8.41</v>
      </c>
      <c r="K1805" s="5">
        <f>ROUND(201904.36,0)</f>
        <v>201904</v>
      </c>
      <c r="L1805" s="7">
        <f>ROUND(0.0000701703813746188,4)</f>
        <v>1E-4</v>
      </c>
    </row>
    <row r="1806" spans="1:12">
      <c r="A1806" s="3" t="s">
        <v>3724</v>
      </c>
      <c r="B1806" s="4" t="s">
        <v>3725</v>
      </c>
      <c r="C1806" s="4" t="s">
        <v>415</v>
      </c>
      <c r="D1806" s="4" t="s">
        <v>717</v>
      </c>
      <c r="E1806" s="4" t="s">
        <v>718</v>
      </c>
      <c r="F1806" s="4" t="s">
        <v>175</v>
      </c>
      <c r="G1806" s="4" t="s">
        <v>408</v>
      </c>
      <c r="H1806" s="5">
        <f>ROUND(2848,0)</f>
        <v>2848</v>
      </c>
      <c r="I1806" s="6">
        <f>ROUND(11797,2)</f>
        <v>11797</v>
      </c>
      <c r="J1806" s="6">
        <f>ROUND(0.59923836,2)</f>
        <v>0.6</v>
      </c>
      <c r="K1806" s="5">
        <f>ROUND(201331.24,0)</f>
        <v>201331</v>
      </c>
      <c r="L1806" s="7">
        <f>ROUND(0.0000699711977167056,4)</f>
        <v>1E-4</v>
      </c>
    </row>
    <row r="1807" spans="1:12">
      <c r="A1807" s="3" t="s">
        <v>3726</v>
      </c>
      <c r="B1807" s="4" t="s">
        <v>3727</v>
      </c>
      <c r="C1807" s="4" t="s">
        <v>534</v>
      </c>
      <c r="D1807" s="4" t="s">
        <v>489</v>
      </c>
      <c r="E1807" s="4" t="s">
        <v>490</v>
      </c>
      <c r="F1807" s="4" t="s">
        <v>45</v>
      </c>
      <c r="G1807" s="4" t="s">
        <v>408</v>
      </c>
      <c r="H1807" s="5">
        <f>ROUND(1000,0)</f>
        <v>1000</v>
      </c>
      <c r="I1807" s="6">
        <f>ROUND(2392,2)</f>
        <v>2392</v>
      </c>
      <c r="J1807" s="6">
        <f>ROUND(8.407077,2)</f>
        <v>8.41</v>
      </c>
      <c r="K1807" s="5">
        <f>ROUND(201097.28,0)</f>
        <v>201097</v>
      </c>
      <c r="L1807" s="7">
        <f>ROUND(0.0000698898866324556,4)</f>
        <v>1E-4</v>
      </c>
    </row>
    <row r="1808" spans="1:12">
      <c r="A1808" s="3" t="s">
        <v>3728</v>
      </c>
      <c r="B1808" s="4" t="s">
        <v>3729</v>
      </c>
      <c r="C1808" s="4" t="s">
        <v>415</v>
      </c>
      <c r="D1808" s="4" t="s">
        <v>739</v>
      </c>
      <c r="E1808" s="4" t="s">
        <v>740</v>
      </c>
      <c r="F1808" s="4" t="s">
        <v>741</v>
      </c>
      <c r="G1808" s="4" t="s">
        <v>408</v>
      </c>
      <c r="H1808" s="5">
        <f>ROUND(195,0)</f>
        <v>195</v>
      </c>
      <c r="I1808" s="6">
        <f>ROUND(135500,2)</f>
        <v>135500</v>
      </c>
      <c r="J1808" s="6">
        <f>ROUND(0.00759599,2)</f>
        <v>0.01</v>
      </c>
      <c r="K1808" s="5">
        <f>ROUND(200705.05,0)</f>
        <v>200705</v>
      </c>
      <c r="L1808" s="7">
        <f>ROUND(0.0000697535699690286,4)</f>
        <v>1E-4</v>
      </c>
    </row>
    <row r="1809" spans="1:12">
      <c r="A1809" s="3" t="s">
        <v>3730</v>
      </c>
      <c r="B1809" s="4" t="s">
        <v>3731</v>
      </c>
      <c r="C1809" s="4" t="s">
        <v>400</v>
      </c>
      <c r="D1809" s="4" t="s">
        <v>407</v>
      </c>
      <c r="E1809" s="4" t="s">
        <v>35</v>
      </c>
      <c r="F1809" s="4" t="s">
        <v>21</v>
      </c>
      <c r="G1809" s="4" t="s">
        <v>408</v>
      </c>
      <c r="H1809" s="5">
        <f>ROUND(1200,0)</f>
        <v>1200</v>
      </c>
      <c r="I1809" s="6">
        <f>ROUND(18.4,2)</f>
        <v>18.399999999999999</v>
      </c>
      <c r="J1809" s="6">
        <f>ROUND(9.08595,2)</f>
        <v>9.09</v>
      </c>
      <c r="K1809" s="5">
        <f>ROUND(200617.78,0)</f>
        <v>200618</v>
      </c>
      <c r="L1809" s="7">
        <f>ROUND(0.0000697232399197787,4)</f>
        <v>1E-4</v>
      </c>
    </row>
    <row r="1810" spans="1:12">
      <c r="A1810" s="3" t="s">
        <v>3732</v>
      </c>
      <c r="B1810" s="4" t="s">
        <v>3733</v>
      </c>
      <c r="C1810" s="4" t="s">
        <v>445</v>
      </c>
      <c r="D1810" s="4" t="s">
        <v>456</v>
      </c>
      <c r="E1810" s="4" t="s">
        <v>457</v>
      </c>
      <c r="F1810" s="4" t="s">
        <v>21</v>
      </c>
      <c r="G1810" s="4" t="s">
        <v>408</v>
      </c>
      <c r="H1810" s="5">
        <f>ROUND(180,0)</f>
        <v>180</v>
      </c>
      <c r="I1810" s="6">
        <f>ROUND(122.46,2)</f>
        <v>122.46</v>
      </c>
      <c r="J1810" s="6">
        <f>ROUND(9.08595,2)</f>
        <v>9.09</v>
      </c>
      <c r="K1810" s="5">
        <f>ROUND(200279.78,0)</f>
        <v>200280</v>
      </c>
      <c r="L1810" s="7">
        <f>ROUND(0.0000696057704956186,4)</f>
        <v>1E-4</v>
      </c>
    </row>
    <row r="1811" spans="1:12">
      <c r="A1811" s="3" t="s">
        <v>3734</v>
      </c>
      <c r="B1811" s="4" t="s">
        <v>3735</v>
      </c>
      <c r="C1811" s="4" t="s">
        <v>422</v>
      </c>
      <c r="D1811" s="4" t="s">
        <v>401</v>
      </c>
      <c r="E1811" s="4" t="s">
        <v>402</v>
      </c>
      <c r="F1811" s="4" t="s">
        <v>403</v>
      </c>
      <c r="G1811" s="4" t="s">
        <v>408</v>
      </c>
      <c r="H1811" s="5">
        <f>ROUND(11000,0)</f>
        <v>11000</v>
      </c>
      <c r="I1811" s="6">
        <f>ROUND(62.1,2)</f>
        <v>62.1</v>
      </c>
      <c r="J1811" s="6">
        <f>ROUND(0.29286371,2)</f>
        <v>0.28999999999999998</v>
      </c>
      <c r="K1811" s="5">
        <f>ROUND(200055.2,0)</f>
        <v>200055</v>
      </c>
      <c r="L1811" s="7">
        <f>ROUND(0.0000695277193616604,4)</f>
        <v>1E-4</v>
      </c>
    </row>
    <row r="1812" spans="1:12">
      <c r="A1812" s="3" t="s">
        <v>3736</v>
      </c>
      <c r="B1812" s="4" t="s">
        <v>3737</v>
      </c>
      <c r="C1812" s="4" t="s">
        <v>415</v>
      </c>
      <c r="D1812" s="4" t="s">
        <v>520</v>
      </c>
      <c r="E1812" s="4" t="s">
        <v>521</v>
      </c>
      <c r="F1812" s="4" t="s">
        <v>18</v>
      </c>
      <c r="G1812" s="4" t="s">
        <v>408</v>
      </c>
      <c r="H1812" s="5">
        <f>ROUND(1178,0)</f>
        <v>1178</v>
      </c>
      <c r="I1812" s="6">
        <f>ROUND(17.075,2)</f>
        <v>17.079999999999998</v>
      </c>
      <c r="J1812" s="6">
        <f>ROUND(9.9055,2)</f>
        <v>9.91</v>
      </c>
      <c r="K1812" s="5">
        <f>ROUND(199242.69,0)</f>
        <v>199243</v>
      </c>
      <c r="L1812" s="7">
        <f>ROUND(0.0000692453374627717,4)</f>
        <v>1E-4</v>
      </c>
    </row>
    <row r="1813" spans="1:12">
      <c r="A1813" s="3" t="s">
        <v>3738</v>
      </c>
      <c r="B1813" s="4" t="s">
        <v>3739</v>
      </c>
      <c r="C1813" s="4" t="s">
        <v>415</v>
      </c>
      <c r="D1813" s="4" t="s">
        <v>520</v>
      </c>
      <c r="E1813" s="4" t="s">
        <v>521</v>
      </c>
      <c r="F1813" s="4" t="s">
        <v>18</v>
      </c>
      <c r="G1813" s="4" t="s">
        <v>408</v>
      </c>
      <c r="H1813" s="5">
        <f>ROUND(303,0)</f>
        <v>303</v>
      </c>
      <c r="I1813" s="6">
        <f>ROUND(66.34,2)</f>
        <v>66.34</v>
      </c>
      <c r="J1813" s="6">
        <f>ROUND(9.9055,2)</f>
        <v>9.91</v>
      </c>
      <c r="K1813" s="5">
        <f>ROUND(199110.65,0)</f>
        <v>199111</v>
      </c>
      <c r="L1813" s="7">
        <f>ROUND(0.0000691994479279608,4)</f>
        <v>1E-4</v>
      </c>
    </row>
    <row r="1814" spans="1:12">
      <c r="A1814" s="3" t="s">
        <v>3740</v>
      </c>
      <c r="B1814" s="4" t="s">
        <v>3741</v>
      </c>
      <c r="C1814" s="4" t="s">
        <v>493</v>
      </c>
      <c r="D1814" s="4" t="s">
        <v>1724</v>
      </c>
      <c r="E1814" s="4" t="s">
        <v>1725</v>
      </c>
      <c r="F1814" s="4" t="s">
        <v>1726</v>
      </c>
      <c r="G1814" s="4" t="s">
        <v>408</v>
      </c>
      <c r="H1814" s="5">
        <f>ROUND(5600,0)</f>
        <v>5600</v>
      </c>
      <c r="I1814" s="6">
        <f>ROUND(16.38,2)</f>
        <v>16.38</v>
      </c>
      <c r="J1814" s="6">
        <f>ROUND(2.17002213,2)</f>
        <v>2.17</v>
      </c>
      <c r="K1814" s="5">
        <f>ROUND(199051.79,0)</f>
        <v>199052</v>
      </c>
      <c r="L1814" s="7">
        <f>ROUND(0.0000691789915661085,4)</f>
        <v>1E-4</v>
      </c>
    </row>
    <row r="1815" spans="1:12">
      <c r="A1815" s="3" t="s">
        <v>3742</v>
      </c>
      <c r="B1815" s="4" t="s">
        <v>3743</v>
      </c>
      <c r="C1815" s="4" t="s">
        <v>545</v>
      </c>
      <c r="D1815" s="4" t="s">
        <v>623</v>
      </c>
      <c r="E1815" s="4" t="s">
        <v>624</v>
      </c>
      <c r="F1815" s="4" t="s">
        <v>18</v>
      </c>
      <c r="G1815" s="4" t="s">
        <v>408</v>
      </c>
      <c r="H1815" s="5">
        <f>ROUND(211,0)</f>
        <v>211</v>
      </c>
      <c r="I1815" s="6">
        <f>ROUND(95,2)</f>
        <v>95</v>
      </c>
      <c r="J1815" s="6">
        <f>ROUND(9.9055,2)</f>
        <v>9.91</v>
      </c>
      <c r="K1815" s="5">
        <f>ROUND(198555.75,0)</f>
        <v>198556</v>
      </c>
      <c r="L1815" s="7">
        <f>ROUND(0.0000690065964975866,4)</f>
        <v>1E-4</v>
      </c>
    </row>
    <row r="1816" spans="1:12">
      <c r="A1816" s="3" t="s">
        <v>3744</v>
      </c>
      <c r="B1816" s="4" t="s">
        <v>3745</v>
      </c>
      <c r="C1816" s="4" t="s">
        <v>400</v>
      </c>
      <c r="D1816" s="4" t="s">
        <v>401</v>
      </c>
      <c r="E1816" s="4" t="s">
        <v>402</v>
      </c>
      <c r="F1816" s="4" t="s">
        <v>403</v>
      </c>
      <c r="G1816" s="4" t="s">
        <v>408</v>
      </c>
      <c r="H1816" s="5">
        <f>ROUND(13000,0)</f>
        <v>13000</v>
      </c>
      <c r="I1816" s="6">
        <f>ROUND(52.1,2)</f>
        <v>52.1</v>
      </c>
      <c r="J1816" s="6">
        <f>ROUND(0.29286371,2)</f>
        <v>0.28999999999999998</v>
      </c>
      <c r="K1816" s="5">
        <f>ROUND(198356.59,0)</f>
        <v>198357</v>
      </c>
      <c r="L1816" s="7">
        <f>ROUND(0.0000689373798984276,4)</f>
        <v>1E-4</v>
      </c>
    </row>
    <row r="1817" spans="1:12">
      <c r="A1817" s="3" t="s">
        <v>3746</v>
      </c>
      <c r="B1817" s="4" t="s">
        <v>3747</v>
      </c>
      <c r="C1817" s="4" t="s">
        <v>445</v>
      </c>
      <c r="D1817" s="4" t="s">
        <v>489</v>
      </c>
      <c r="E1817" s="4" t="s">
        <v>490</v>
      </c>
      <c r="F1817" s="4" t="s">
        <v>45</v>
      </c>
      <c r="G1817" s="4" t="s">
        <v>408</v>
      </c>
      <c r="H1817" s="5">
        <f>ROUND(300,0)</f>
        <v>300</v>
      </c>
      <c r="I1817" s="6">
        <f>ROUND(7850,2)</f>
        <v>7850</v>
      </c>
      <c r="J1817" s="6">
        <f>ROUND(8.407077,2)</f>
        <v>8.41</v>
      </c>
      <c r="K1817" s="5">
        <f>ROUND(197986.66,0)</f>
        <v>197987</v>
      </c>
      <c r="L1817" s="7">
        <f>ROUND(0.0000688088134366538,4)</f>
        <v>1E-4</v>
      </c>
    </row>
    <row r="1818" spans="1:12">
      <c r="A1818" s="3" t="s">
        <v>3748</v>
      </c>
      <c r="B1818" s="4" t="s">
        <v>3749</v>
      </c>
      <c r="C1818" s="4" t="s">
        <v>534</v>
      </c>
      <c r="D1818" s="4" t="s">
        <v>489</v>
      </c>
      <c r="E1818" s="4" t="s">
        <v>490</v>
      </c>
      <c r="F1818" s="4" t="s">
        <v>45</v>
      </c>
      <c r="G1818" s="4" t="s">
        <v>408</v>
      </c>
      <c r="H1818" s="5">
        <f>ROUND(1900,0)</f>
        <v>1900</v>
      </c>
      <c r="I1818" s="6">
        <f>ROUND(1239,2)</f>
        <v>1239</v>
      </c>
      <c r="J1818" s="6">
        <f>ROUND(8.407077,2)</f>
        <v>8.41</v>
      </c>
      <c r="K1818" s="5">
        <f>ROUND(197911,0)</f>
        <v>197911</v>
      </c>
      <c r="L1818" s="7">
        <f>ROUND(0.000068782518357861,4)</f>
        <v>1E-4</v>
      </c>
    </row>
    <row r="1819" spans="1:12">
      <c r="A1819" s="3" t="s">
        <v>3750</v>
      </c>
      <c r="B1819" s="4" t="s">
        <v>3751</v>
      </c>
      <c r="C1819" s="4" t="s">
        <v>389</v>
      </c>
      <c r="D1819" s="4" t="s">
        <v>569</v>
      </c>
      <c r="E1819" s="4" t="s">
        <v>570</v>
      </c>
      <c r="F1819" s="4" t="s">
        <v>19</v>
      </c>
      <c r="G1819" s="4" t="s">
        <v>408</v>
      </c>
      <c r="H1819" s="5">
        <f>ROUND(542,0)</f>
        <v>542</v>
      </c>
      <c r="I1819" s="6">
        <f>ROUND(274.9,2)</f>
        <v>274.89999999999998</v>
      </c>
      <c r="J1819" s="6">
        <f>ROUND(1.3267035,2)</f>
        <v>1.33</v>
      </c>
      <c r="K1819" s="5">
        <f>ROUND(197673.25,0)</f>
        <v>197673</v>
      </c>
      <c r="L1819" s="7">
        <f>ROUND(0.0000686998900868727,4)</f>
        <v>1E-4</v>
      </c>
    </row>
    <row r="1820" spans="1:12">
      <c r="A1820" s="3" t="s">
        <v>3752</v>
      </c>
      <c r="B1820" s="4" t="s">
        <v>3753</v>
      </c>
      <c r="C1820" s="4" t="s">
        <v>389</v>
      </c>
      <c r="D1820" s="4" t="s">
        <v>1024</v>
      </c>
      <c r="E1820" s="4" t="s">
        <v>1025</v>
      </c>
      <c r="F1820" s="4" t="s">
        <v>1026</v>
      </c>
      <c r="G1820" s="4" t="s">
        <v>408</v>
      </c>
      <c r="H1820" s="5">
        <f>ROUND(914,0)</f>
        <v>914</v>
      </c>
      <c r="I1820" s="6">
        <f>ROUND(233.4,2)</f>
        <v>233.4</v>
      </c>
      <c r="J1820" s="6">
        <f>ROUND(0.92410673,2)</f>
        <v>0.92</v>
      </c>
      <c r="K1820" s="5">
        <f>ROUND(197137.47,0)</f>
        <v>197137</v>
      </c>
      <c r="L1820" s="7">
        <f>ROUND(0.0000685136836724451,4)</f>
        <v>1E-4</v>
      </c>
    </row>
    <row r="1821" spans="1:12">
      <c r="A1821" s="3" t="s">
        <v>3754</v>
      </c>
      <c r="B1821" s="4" t="s">
        <v>3755</v>
      </c>
      <c r="C1821" s="4" t="s">
        <v>534</v>
      </c>
      <c r="D1821" s="4" t="s">
        <v>1217</v>
      </c>
      <c r="E1821" s="4" t="s">
        <v>1218</v>
      </c>
      <c r="F1821" s="4" t="s">
        <v>26</v>
      </c>
      <c r="G1821" s="4" t="s">
        <v>408</v>
      </c>
      <c r="H1821" s="5">
        <f>ROUND(14000,0)</f>
        <v>14000</v>
      </c>
      <c r="I1821" s="6">
        <f>ROUND(12.14,2)</f>
        <v>12.14</v>
      </c>
      <c r="J1821" s="6">
        <f>ROUND(1.15901246,2)</f>
        <v>1.1599999999999999</v>
      </c>
      <c r="K1821" s="5">
        <f>ROUND(196985.76,0)</f>
        <v>196986</v>
      </c>
      <c r="L1821" s="7">
        <f>ROUND(0.0000684609579732163,4)</f>
        <v>1E-4</v>
      </c>
    </row>
    <row r="1822" spans="1:12">
      <c r="A1822" s="3" t="s">
        <v>3756</v>
      </c>
      <c r="B1822" s="4" t="s">
        <v>3757</v>
      </c>
      <c r="C1822" s="4" t="s">
        <v>389</v>
      </c>
      <c r="D1822" s="4" t="s">
        <v>489</v>
      </c>
      <c r="E1822" s="4" t="s">
        <v>490</v>
      </c>
      <c r="F1822" s="4" t="s">
        <v>45</v>
      </c>
      <c r="G1822" s="4" t="s">
        <v>408</v>
      </c>
      <c r="H1822" s="5">
        <f>ROUND(100,0)</f>
        <v>100</v>
      </c>
      <c r="I1822" s="6">
        <f>ROUND(23380,2)</f>
        <v>23380</v>
      </c>
      <c r="J1822" s="6">
        <f>ROUND(8.407077,2)</f>
        <v>8.41</v>
      </c>
      <c r="K1822" s="5">
        <f>ROUND(196557.46,0)</f>
        <v>196557</v>
      </c>
      <c r="L1822" s="7">
        <f>ROUND(0.0000683121054455009,4)</f>
        <v>1E-4</v>
      </c>
    </row>
    <row r="1823" spans="1:12">
      <c r="A1823" s="3" t="s">
        <v>3758</v>
      </c>
      <c r="B1823" s="4" t="s">
        <v>3759</v>
      </c>
      <c r="C1823" s="4" t="s">
        <v>406</v>
      </c>
      <c r="D1823" s="4" t="s">
        <v>407</v>
      </c>
      <c r="E1823" s="4" t="s">
        <v>35</v>
      </c>
      <c r="F1823" s="4" t="s">
        <v>21</v>
      </c>
      <c r="G1823" s="4" t="s">
        <v>408</v>
      </c>
      <c r="H1823" s="5">
        <f>ROUND(828,0)</f>
        <v>828</v>
      </c>
      <c r="I1823" s="6">
        <f>ROUND(26.12,2)</f>
        <v>26.12</v>
      </c>
      <c r="J1823" s="6">
        <f>ROUND(9.08595,2)</f>
        <v>9.09</v>
      </c>
      <c r="K1823" s="5">
        <f>ROUND(196505.11,0)</f>
        <v>196505</v>
      </c>
      <c r="L1823" s="7">
        <f>ROUND(0.0000682939115864631,4)</f>
        <v>1E-4</v>
      </c>
    </row>
    <row r="1824" spans="1:12">
      <c r="A1824" s="3" t="s">
        <v>3760</v>
      </c>
      <c r="B1824" s="4" t="s">
        <v>3761</v>
      </c>
      <c r="C1824" s="4" t="s">
        <v>400</v>
      </c>
      <c r="D1824" s="4" t="s">
        <v>717</v>
      </c>
      <c r="E1824" s="4" t="s">
        <v>718</v>
      </c>
      <c r="F1824" s="4" t="s">
        <v>175</v>
      </c>
      <c r="G1824" s="4" t="s">
        <v>408</v>
      </c>
      <c r="H1824" s="5">
        <f>ROUND(2917,0)</f>
        <v>2917</v>
      </c>
      <c r="I1824" s="6">
        <f>ROUND(11240,2)</f>
        <v>11240</v>
      </c>
      <c r="J1824" s="6">
        <f>ROUND(0.59923836,2)</f>
        <v>0.6</v>
      </c>
      <c r="K1824" s="5">
        <f>ROUND(196472.76,0)</f>
        <v>196473</v>
      </c>
      <c r="L1824" s="7">
        <f>ROUND(0.0000682826685809259,4)</f>
        <v>1E-4</v>
      </c>
    </row>
    <row r="1825" spans="1:12">
      <c r="A1825" s="3" t="s">
        <v>3762</v>
      </c>
      <c r="B1825" s="4" t="s">
        <v>3763</v>
      </c>
      <c r="C1825" s="4" t="s">
        <v>493</v>
      </c>
      <c r="D1825" s="4" t="s">
        <v>514</v>
      </c>
      <c r="E1825" s="4" t="s">
        <v>515</v>
      </c>
      <c r="F1825" s="4" t="s">
        <v>190</v>
      </c>
      <c r="G1825" s="4" t="s">
        <v>408</v>
      </c>
      <c r="H1825" s="5">
        <f>ROUND(1470,0)</f>
        <v>1470</v>
      </c>
      <c r="I1825" s="6">
        <f>ROUND(19.45,2)</f>
        <v>19.45</v>
      </c>
      <c r="J1825" s="6">
        <f>ROUND(6.86237833,2)</f>
        <v>6.86</v>
      </c>
      <c r="K1825" s="5">
        <f>ROUND(196205.69,0)</f>
        <v>196206</v>
      </c>
      <c r="L1825" s="7">
        <f>ROUND(0.0000681898503587056,4)</f>
        <v>1E-4</v>
      </c>
    </row>
    <row r="1826" spans="1:12">
      <c r="A1826" s="3" t="s">
        <v>3764</v>
      </c>
      <c r="B1826" s="4" t="s">
        <v>3765</v>
      </c>
      <c r="C1826" s="4" t="s">
        <v>545</v>
      </c>
      <c r="D1826" s="4" t="s">
        <v>489</v>
      </c>
      <c r="E1826" s="4" t="s">
        <v>490</v>
      </c>
      <c r="F1826" s="4" t="s">
        <v>45</v>
      </c>
      <c r="G1826" s="4" t="s">
        <v>408</v>
      </c>
      <c r="H1826" s="5">
        <f>ROUND(800,0)</f>
        <v>800</v>
      </c>
      <c r="I1826" s="6">
        <f>ROUND(2915,2)</f>
        <v>2915</v>
      </c>
      <c r="J1826" s="6">
        <f>ROUND(8.407077,2)</f>
        <v>8.41</v>
      </c>
      <c r="K1826" s="5">
        <f>ROUND(196053.04,0)</f>
        <v>196053</v>
      </c>
      <c r="L1826" s="7">
        <f>ROUND(0.0000681367979693623,4)</f>
        <v>1E-4</v>
      </c>
    </row>
    <row r="1827" spans="1:12">
      <c r="A1827" s="3" t="s">
        <v>3766</v>
      </c>
      <c r="B1827" s="4" t="s">
        <v>3767</v>
      </c>
      <c r="C1827" s="4" t="s">
        <v>422</v>
      </c>
      <c r="D1827" s="4" t="s">
        <v>407</v>
      </c>
      <c r="E1827" s="4" t="s">
        <v>35</v>
      </c>
      <c r="F1827" s="4" t="s">
        <v>21</v>
      </c>
      <c r="G1827" s="4" t="s">
        <v>408</v>
      </c>
      <c r="H1827" s="5">
        <f>ROUND(2052,0)</f>
        <v>2052</v>
      </c>
      <c r="I1827" s="6">
        <f>ROUND(10.51,2)</f>
        <v>10.51</v>
      </c>
      <c r="J1827" s="6">
        <f>ROUND(9.08595,2)</f>
        <v>9.09</v>
      </c>
      <c r="K1827" s="5">
        <f>ROUND(195952.32,0)</f>
        <v>195952</v>
      </c>
      <c r="L1827" s="7">
        <f>ROUND(0.0000681017934711333,4)</f>
        <v>1E-4</v>
      </c>
    </row>
    <row r="1828" spans="1:12">
      <c r="A1828" s="3" t="s">
        <v>3768</v>
      </c>
      <c r="B1828" s="4" t="s">
        <v>3769</v>
      </c>
      <c r="C1828" s="4" t="s">
        <v>389</v>
      </c>
      <c r="D1828" s="4" t="s">
        <v>541</v>
      </c>
      <c r="E1828" s="4" t="s">
        <v>542</v>
      </c>
      <c r="F1828" s="4" t="s">
        <v>20</v>
      </c>
      <c r="G1828" s="4" t="s">
        <v>408</v>
      </c>
      <c r="H1828" s="5">
        <f>ROUND(1849,0)</f>
        <v>1849</v>
      </c>
      <c r="I1828" s="6">
        <f>ROUND(945.8,2)</f>
        <v>945.8</v>
      </c>
      <c r="J1828" s="6">
        <f>ROUND(11.19645077,2)</f>
        <v>11.2</v>
      </c>
      <c r="K1828" s="5">
        <f>ROUND(195801.74,0)</f>
        <v>195802</v>
      </c>
      <c r="L1828" s="7">
        <f>ROUND(0.0000680494604951273,4)</f>
        <v>1E-4</v>
      </c>
    </row>
    <row r="1829" spans="1:12">
      <c r="A1829" s="3" t="s">
        <v>3770</v>
      </c>
      <c r="B1829" s="4" t="s">
        <v>3771</v>
      </c>
      <c r="C1829" s="4" t="s">
        <v>534</v>
      </c>
      <c r="D1829" s="4" t="s">
        <v>486</v>
      </c>
      <c r="E1829" s="4" t="s">
        <v>30</v>
      </c>
      <c r="F1829" s="4" t="s">
        <v>20</v>
      </c>
      <c r="G1829" s="4" t="s">
        <v>408</v>
      </c>
      <c r="H1829" s="5">
        <f>ROUND(1821,0)</f>
        <v>1821</v>
      </c>
      <c r="I1829" s="6">
        <f>ROUND(960.2,2)</f>
        <v>960.2</v>
      </c>
      <c r="J1829" s="6">
        <f>ROUND(11.19645077,2)</f>
        <v>11.2</v>
      </c>
      <c r="K1829" s="5">
        <f>ROUND(195772.63,0)</f>
        <v>195773</v>
      </c>
      <c r="L1829" s="7">
        <f>ROUND(0.0000680393435278571,4)</f>
        <v>1E-4</v>
      </c>
    </row>
    <row r="1830" spans="1:12">
      <c r="A1830" s="3" t="s">
        <v>3772</v>
      </c>
      <c r="B1830" s="4" t="s">
        <v>3773</v>
      </c>
      <c r="C1830" s="4" t="s">
        <v>545</v>
      </c>
      <c r="D1830" s="4" t="s">
        <v>789</v>
      </c>
      <c r="E1830" s="4" t="s">
        <v>790</v>
      </c>
      <c r="F1830" s="4" t="s">
        <v>791</v>
      </c>
      <c r="G1830" s="4" t="s">
        <v>408</v>
      </c>
      <c r="H1830" s="5">
        <f>ROUND(351,0)</f>
        <v>351</v>
      </c>
      <c r="I1830" s="6">
        <f>ROUND(4341.25,2)</f>
        <v>4341.25</v>
      </c>
      <c r="J1830" s="6">
        <f>ROUND(0.12820804,2)</f>
        <v>0.13</v>
      </c>
      <c r="K1830" s="5">
        <f>ROUND(195360.69,0)</f>
        <v>195361</v>
      </c>
      <c r="L1830" s="7">
        <f>ROUND(0.0000678961767983053,4)</f>
        <v>1E-4</v>
      </c>
    </row>
    <row r="1831" spans="1:12">
      <c r="A1831" s="3" t="s">
        <v>3774</v>
      </c>
      <c r="B1831" s="4" t="s">
        <v>3775</v>
      </c>
      <c r="C1831" s="4" t="s">
        <v>415</v>
      </c>
      <c r="D1831" s="4" t="s">
        <v>489</v>
      </c>
      <c r="E1831" s="4" t="s">
        <v>490</v>
      </c>
      <c r="F1831" s="4" t="s">
        <v>45</v>
      </c>
      <c r="G1831" s="4" t="s">
        <v>408</v>
      </c>
      <c r="H1831" s="5">
        <f>ROUND(600,0)</f>
        <v>600</v>
      </c>
      <c r="I1831" s="6">
        <f>ROUND(3865,2)</f>
        <v>3865</v>
      </c>
      <c r="J1831" s="6">
        <f>ROUND(8.407077,2)</f>
        <v>8.41</v>
      </c>
      <c r="K1831" s="5">
        <f>ROUND(194960.12,0)</f>
        <v>194960</v>
      </c>
      <c r="L1831" s="7">
        <f>ROUND(0.0000677569616289685,4)</f>
        <v>1E-4</v>
      </c>
    </row>
    <row r="1832" spans="1:12">
      <c r="A1832" s="3" t="s">
        <v>3776</v>
      </c>
      <c r="B1832" s="4" t="s">
        <v>3777</v>
      </c>
      <c r="C1832" s="4" t="s">
        <v>389</v>
      </c>
      <c r="D1832" s="4" t="s">
        <v>514</v>
      </c>
      <c r="E1832" s="4" t="s">
        <v>515</v>
      </c>
      <c r="F1832" s="4" t="s">
        <v>190</v>
      </c>
      <c r="G1832" s="4" t="s">
        <v>408</v>
      </c>
      <c r="H1832" s="5">
        <f>ROUND(1430,0)</f>
        <v>1430</v>
      </c>
      <c r="I1832" s="6">
        <f>ROUND(19.83,2)</f>
        <v>19.829999999999998</v>
      </c>
      <c r="J1832" s="6">
        <f>ROUND(6.86237833,2)</f>
        <v>6.86</v>
      </c>
      <c r="K1832" s="5">
        <f>ROUND(194595.78,0)</f>
        <v>194596</v>
      </c>
      <c r="L1832" s="7">
        <f>ROUND(0.0000676303379307481,4)</f>
        <v>1E-4</v>
      </c>
    </row>
    <row r="1833" spans="1:12">
      <c r="A1833" s="3" t="s">
        <v>3778</v>
      </c>
      <c r="B1833" s="4" t="s">
        <v>3779</v>
      </c>
      <c r="C1833" s="4" t="s">
        <v>400</v>
      </c>
      <c r="D1833" s="4" t="s">
        <v>2277</v>
      </c>
      <c r="E1833" s="4" t="s">
        <v>2278</v>
      </c>
      <c r="F1833" s="4" t="s">
        <v>38</v>
      </c>
      <c r="G1833" s="4" t="s">
        <v>408</v>
      </c>
      <c r="H1833" s="5">
        <f>ROUND(11844,0)</f>
        <v>11844</v>
      </c>
      <c r="I1833" s="6">
        <f>ROUND(10.21,2)</f>
        <v>10.210000000000001</v>
      </c>
      <c r="J1833" s="6">
        <f>ROUND(1.60912955,2)</f>
        <v>1.61</v>
      </c>
      <c r="K1833" s="5">
        <f>ROUND(194587.6,0)</f>
        <v>194588</v>
      </c>
      <c r="L1833" s="7">
        <f>ROUND(0.0000676274950316664,4)</f>
        <v>1E-4</v>
      </c>
    </row>
    <row r="1834" spans="1:12">
      <c r="A1834" s="3" t="s">
        <v>3780</v>
      </c>
      <c r="B1834" s="4" t="s">
        <v>3781</v>
      </c>
      <c r="C1834" s="4" t="s">
        <v>534</v>
      </c>
      <c r="D1834" s="4" t="s">
        <v>489</v>
      </c>
      <c r="E1834" s="4" t="s">
        <v>490</v>
      </c>
      <c r="F1834" s="4" t="s">
        <v>45</v>
      </c>
      <c r="G1834" s="4" t="s">
        <v>408</v>
      </c>
      <c r="H1834" s="5">
        <f>ROUND(700,0)</f>
        <v>700</v>
      </c>
      <c r="I1834" s="6">
        <f>ROUND(3305,2)</f>
        <v>3305</v>
      </c>
      <c r="J1834" s="6">
        <f>ROUND(8.407077,2)</f>
        <v>8.41</v>
      </c>
      <c r="K1834" s="5">
        <f>ROUND(194497.73,0)</f>
        <v>194498</v>
      </c>
      <c r="L1834" s="7">
        <f>ROUND(0.0000675962613714614,4)</f>
        <v>1E-4</v>
      </c>
    </row>
    <row r="1835" spans="1:12">
      <c r="A1835" s="3" t="s">
        <v>3782</v>
      </c>
      <c r="B1835" s="4" t="s">
        <v>3783</v>
      </c>
      <c r="C1835" s="4" t="s">
        <v>545</v>
      </c>
      <c r="D1835" s="4" t="s">
        <v>489</v>
      </c>
      <c r="E1835" s="4" t="s">
        <v>490</v>
      </c>
      <c r="F1835" s="4" t="s">
        <v>45</v>
      </c>
      <c r="G1835" s="4" t="s">
        <v>408</v>
      </c>
      <c r="H1835" s="5">
        <f>ROUND(800,0)</f>
        <v>800</v>
      </c>
      <c r="I1835" s="6">
        <f>ROUND(2891,2)</f>
        <v>2891</v>
      </c>
      <c r="J1835" s="6">
        <f>ROUND(8.407077,2)</f>
        <v>8.41</v>
      </c>
      <c r="K1835" s="5">
        <f>ROUND(194438.88,0)</f>
        <v>194439</v>
      </c>
      <c r="L1835" s="7">
        <f>ROUND(0.0000675758084850359,4)</f>
        <v>1E-4</v>
      </c>
    </row>
    <row r="1836" spans="1:12">
      <c r="A1836" s="3" t="s">
        <v>3784</v>
      </c>
      <c r="B1836" s="4" t="s">
        <v>3785</v>
      </c>
      <c r="C1836" s="4" t="s">
        <v>422</v>
      </c>
      <c r="D1836" s="4" t="s">
        <v>1119</v>
      </c>
      <c r="E1836" s="4" t="s">
        <v>1120</v>
      </c>
      <c r="F1836" s="4" t="s">
        <v>95</v>
      </c>
      <c r="G1836" s="4" t="s">
        <v>408</v>
      </c>
      <c r="H1836" s="5">
        <f>ROUND(3515,0)</f>
        <v>3515</v>
      </c>
      <c r="I1836" s="6">
        <f>ROUND(120.09,2)</f>
        <v>120.09</v>
      </c>
      <c r="J1836" s="6">
        <f>ROUND(0.4601869,2)</f>
        <v>0.46</v>
      </c>
      <c r="K1836" s="5">
        <f>ROUND(194252.41,0)</f>
        <v>194252</v>
      </c>
      <c r="L1836" s="7">
        <f>ROUND(0.0000675110022024231,4)</f>
        <v>1E-4</v>
      </c>
    </row>
    <row r="1837" spans="1:12">
      <c r="A1837" s="3" t="s">
        <v>3786</v>
      </c>
      <c r="B1837" s="4" t="s">
        <v>3787</v>
      </c>
      <c r="C1837" s="4" t="s">
        <v>534</v>
      </c>
      <c r="D1837" s="4" t="s">
        <v>489</v>
      </c>
      <c r="E1837" s="4" t="s">
        <v>490</v>
      </c>
      <c r="F1837" s="4" t="s">
        <v>45</v>
      </c>
      <c r="G1837" s="4" t="s">
        <v>408</v>
      </c>
      <c r="H1837" s="5">
        <f>ROUND(1500,0)</f>
        <v>1500</v>
      </c>
      <c r="I1837" s="6">
        <f>ROUND(1539,2)</f>
        <v>1539</v>
      </c>
      <c r="J1837" s="6">
        <f>ROUND(8.407077,2)</f>
        <v>8.41</v>
      </c>
      <c r="K1837" s="5">
        <f>ROUND(194077.37,0)</f>
        <v>194077</v>
      </c>
      <c r="L1837" s="7">
        <f>ROUND(0.0000674501683325858,4)</f>
        <v>1E-4</v>
      </c>
    </row>
    <row r="1838" spans="1:12">
      <c r="A1838" s="3" t="s">
        <v>3788</v>
      </c>
      <c r="B1838" s="4" t="s">
        <v>3789</v>
      </c>
      <c r="C1838" s="4" t="s">
        <v>422</v>
      </c>
      <c r="D1838" s="4" t="s">
        <v>1119</v>
      </c>
      <c r="E1838" s="4" t="s">
        <v>1120</v>
      </c>
      <c r="F1838" s="4" t="s">
        <v>95</v>
      </c>
      <c r="G1838" s="4" t="s">
        <v>408</v>
      </c>
      <c r="H1838" s="5">
        <f>ROUND(11699,0)</f>
        <v>11699</v>
      </c>
      <c r="I1838" s="6">
        <f>ROUND(35.99,2)</f>
        <v>35.99</v>
      </c>
      <c r="J1838" s="6">
        <f>ROUND(0.4601869,2)</f>
        <v>0.46</v>
      </c>
      <c r="K1838" s="5">
        <f>ROUND(193760.32,0)</f>
        <v>193760</v>
      </c>
      <c r="L1838" s="7">
        <f>ROUND(0.0000673399799274676,4)</f>
        <v>1E-4</v>
      </c>
    </row>
    <row r="1839" spans="1:12">
      <c r="A1839" s="3" t="s">
        <v>3790</v>
      </c>
      <c r="B1839" s="4" t="s">
        <v>3791</v>
      </c>
      <c r="C1839" s="4" t="s">
        <v>422</v>
      </c>
      <c r="D1839" s="4" t="s">
        <v>552</v>
      </c>
      <c r="E1839" s="4" t="s">
        <v>553</v>
      </c>
      <c r="F1839" s="4" t="s">
        <v>26</v>
      </c>
      <c r="G1839" s="4" t="s">
        <v>408</v>
      </c>
      <c r="H1839" s="5">
        <f>ROUND(21000,0)</f>
        <v>21000</v>
      </c>
      <c r="I1839" s="6">
        <f>ROUND(7.96,2)</f>
        <v>7.96</v>
      </c>
      <c r="J1839" s="6">
        <f>ROUND(1.15901246,2)</f>
        <v>1.1599999999999999</v>
      </c>
      <c r="K1839" s="5">
        <f>ROUND(193740.52,0)</f>
        <v>193741</v>
      </c>
      <c r="L1839" s="7">
        <f>ROUND(0.0000673330985825019,4)</f>
        <v>1E-4</v>
      </c>
    </row>
    <row r="1840" spans="1:12">
      <c r="A1840" s="3" t="s">
        <v>3792</v>
      </c>
      <c r="B1840" s="4" t="s">
        <v>3793</v>
      </c>
      <c r="C1840" s="4" t="s">
        <v>400</v>
      </c>
      <c r="D1840" s="4" t="s">
        <v>489</v>
      </c>
      <c r="E1840" s="4" t="s">
        <v>490</v>
      </c>
      <c r="F1840" s="4" t="s">
        <v>45</v>
      </c>
      <c r="G1840" s="4" t="s">
        <v>408</v>
      </c>
      <c r="H1840" s="5">
        <f>ROUND(2200,0)</f>
        <v>2200</v>
      </c>
      <c r="I1840" s="6">
        <f>ROUND(1047,2)</f>
        <v>1047</v>
      </c>
      <c r="J1840" s="6">
        <f>ROUND(8.407077,2)</f>
        <v>8.41</v>
      </c>
      <c r="K1840" s="5">
        <f>ROUND(193648.61,0)</f>
        <v>193649</v>
      </c>
      <c r="L1840" s="7">
        <f>ROUND(0.0000673011559352399,4)</f>
        <v>1E-4</v>
      </c>
    </row>
    <row r="1841" spans="1:12">
      <c r="A1841" s="3" t="s">
        <v>3794</v>
      </c>
      <c r="B1841" s="4" t="s">
        <v>3795</v>
      </c>
      <c r="C1841" s="4" t="s">
        <v>400</v>
      </c>
      <c r="D1841" s="4" t="s">
        <v>390</v>
      </c>
      <c r="E1841" s="4" t="s">
        <v>391</v>
      </c>
      <c r="F1841" s="4" t="s">
        <v>72</v>
      </c>
      <c r="G1841" s="4" t="s">
        <v>408</v>
      </c>
      <c r="H1841" s="5">
        <f>ROUND(17292,0)</f>
        <v>17292</v>
      </c>
      <c r="I1841" s="6">
        <f>ROUND(1.825,2)</f>
        <v>1.83</v>
      </c>
      <c r="J1841" s="6">
        <f>ROUND(6.12812423,2)</f>
        <v>6.13</v>
      </c>
      <c r="K1841" s="5">
        <f>ROUND(193390.73,0)</f>
        <v>193391</v>
      </c>
      <c r="L1841" s="7">
        <f>ROUND(0.0000672115316302032,4)</f>
        <v>1E-4</v>
      </c>
    </row>
    <row r="1842" spans="1:12">
      <c r="A1842" s="3" t="s">
        <v>3796</v>
      </c>
      <c r="B1842" s="4" t="s">
        <v>3797</v>
      </c>
      <c r="C1842" s="4" t="s">
        <v>415</v>
      </c>
      <c r="D1842" s="4" t="s">
        <v>541</v>
      </c>
      <c r="E1842" s="4" t="s">
        <v>542</v>
      </c>
      <c r="F1842" s="4" t="s">
        <v>18</v>
      </c>
      <c r="G1842" s="4" t="s">
        <v>408</v>
      </c>
      <c r="H1842" s="5">
        <f>ROUND(596,0)</f>
        <v>596</v>
      </c>
      <c r="I1842" s="6">
        <f>ROUND(32.73,2)</f>
        <v>32.729999999999997</v>
      </c>
      <c r="J1842" s="6">
        <f>ROUND(9.9055,2)</f>
        <v>9.91</v>
      </c>
      <c r="K1842" s="5">
        <f>ROUND(193227.38,0)</f>
        <v>193227</v>
      </c>
      <c r="L1842" s="7">
        <f>ROUND(0.0000671547605342371,4)</f>
        <v>1E-4</v>
      </c>
    </row>
    <row r="1843" spans="1:12">
      <c r="A1843" s="3" t="s">
        <v>3798</v>
      </c>
      <c r="B1843" s="4" t="s">
        <v>3799</v>
      </c>
      <c r="C1843" s="4" t="s">
        <v>400</v>
      </c>
      <c r="D1843" s="4" t="s">
        <v>655</v>
      </c>
      <c r="E1843" s="4" t="s">
        <v>656</v>
      </c>
      <c r="F1843" s="4" t="s">
        <v>26</v>
      </c>
      <c r="G1843" s="4" t="s">
        <v>408</v>
      </c>
      <c r="H1843" s="5">
        <f>ROUND(53000,0)</f>
        <v>53000</v>
      </c>
      <c r="I1843" s="6">
        <f>ROUND(3.14,2)</f>
        <v>3.14</v>
      </c>
      <c r="J1843" s="6">
        <f>ROUND(1.15901246,2)</f>
        <v>1.1599999999999999</v>
      </c>
      <c r="K1843" s="5">
        <f>ROUND(192882.85,0)</f>
        <v>192883</v>
      </c>
      <c r="L1843" s="7">
        <f>ROUND(0.000067035021656409,4)</f>
        <v>1E-4</v>
      </c>
    </row>
    <row r="1844" spans="1:12">
      <c r="A1844" s="3" t="s">
        <v>3800</v>
      </c>
      <c r="B1844" s="4" t="s">
        <v>3801</v>
      </c>
      <c r="C1844" s="4" t="s">
        <v>406</v>
      </c>
      <c r="D1844" s="4" t="s">
        <v>456</v>
      </c>
      <c r="E1844" s="4" t="s">
        <v>457</v>
      </c>
      <c r="F1844" s="4" t="s">
        <v>26</v>
      </c>
      <c r="G1844" s="4" t="s">
        <v>408</v>
      </c>
      <c r="H1844" s="5">
        <f>ROUND(4000,0)</f>
        <v>4000</v>
      </c>
      <c r="I1844" s="6">
        <f>ROUND(41.5,2)</f>
        <v>41.5</v>
      </c>
      <c r="J1844" s="6">
        <f>ROUND(1.15901246,2)</f>
        <v>1.1599999999999999</v>
      </c>
      <c r="K1844" s="5">
        <f>ROUND(192396.07,0)</f>
        <v>192396</v>
      </c>
      <c r="L1844" s="7">
        <f>ROUND(0.0000668658448330579,4)</f>
        <v>1E-4</v>
      </c>
    </row>
    <row r="1845" spans="1:12">
      <c r="A1845" s="3" t="s">
        <v>3802</v>
      </c>
      <c r="B1845" s="4" t="s">
        <v>3803</v>
      </c>
      <c r="C1845" s="4" t="s">
        <v>534</v>
      </c>
      <c r="D1845" s="4" t="s">
        <v>514</v>
      </c>
      <c r="E1845" s="4" t="s">
        <v>515</v>
      </c>
      <c r="F1845" s="4" t="s">
        <v>190</v>
      </c>
      <c r="G1845" s="4" t="s">
        <v>408</v>
      </c>
      <c r="H1845" s="5">
        <f>ROUND(1500,0)</f>
        <v>1500</v>
      </c>
      <c r="I1845" s="6">
        <f>ROUND(18.66,2)</f>
        <v>18.66</v>
      </c>
      <c r="J1845" s="6">
        <f>ROUND(6.86237833,2)</f>
        <v>6.86</v>
      </c>
      <c r="K1845" s="5">
        <f>ROUND(192077.97,0)</f>
        <v>192078</v>
      </c>
      <c r="L1845" s="7">
        <f>ROUND(0.0000667552915081308,4)</f>
        <v>1E-4</v>
      </c>
    </row>
    <row r="1846" spans="1:12">
      <c r="A1846" s="3" t="s">
        <v>3804</v>
      </c>
      <c r="B1846" s="4" t="s">
        <v>3805</v>
      </c>
      <c r="C1846" s="4" t="s">
        <v>534</v>
      </c>
      <c r="D1846" s="4" t="s">
        <v>552</v>
      </c>
      <c r="E1846" s="4" t="s">
        <v>553</v>
      </c>
      <c r="F1846" s="4" t="s">
        <v>26</v>
      </c>
      <c r="G1846" s="4" t="s">
        <v>408</v>
      </c>
      <c r="H1846" s="5">
        <f>ROUND(27407,0)</f>
        <v>27407</v>
      </c>
      <c r="I1846" s="6">
        <f>ROUND(6.04,2)</f>
        <v>6.04</v>
      </c>
      <c r="J1846" s="6">
        <f>ROUND(1.15901246,2)</f>
        <v>1.1599999999999999</v>
      </c>
      <c r="K1846" s="5">
        <f>ROUND(191860.93,0)</f>
        <v>191861</v>
      </c>
      <c r="L1846" s="7">
        <f>ROUND(0.0000666798608459423,4)</f>
        <v>1E-4</v>
      </c>
    </row>
    <row r="1847" spans="1:12">
      <c r="A1847" s="3" t="s">
        <v>3806</v>
      </c>
      <c r="B1847" s="4" t="s">
        <v>3807</v>
      </c>
      <c r="C1847" s="4" t="s">
        <v>422</v>
      </c>
      <c r="D1847" s="4" t="s">
        <v>717</v>
      </c>
      <c r="E1847" s="4" t="s">
        <v>718</v>
      </c>
      <c r="F1847" s="4" t="s">
        <v>175</v>
      </c>
      <c r="G1847" s="4" t="s">
        <v>408</v>
      </c>
      <c r="H1847" s="5">
        <f>ROUND(3014,0)</f>
        <v>3014</v>
      </c>
      <c r="I1847" s="6">
        <f>ROUND(10601,2)</f>
        <v>10601</v>
      </c>
      <c r="J1847" s="6">
        <f>ROUND(0.59923836,2)</f>
        <v>0.6</v>
      </c>
      <c r="K1847" s="5">
        <f>ROUND(191465.13,0)</f>
        <v>191465</v>
      </c>
      <c r="L1847" s="7">
        <f>ROUND(0.0000665423034551655,4)</f>
        <v>1E-4</v>
      </c>
    </row>
    <row r="1848" spans="1:12">
      <c r="A1848" s="3" t="s">
        <v>3808</v>
      </c>
      <c r="B1848" s="4" t="s">
        <v>3809</v>
      </c>
      <c r="C1848" s="4" t="s">
        <v>545</v>
      </c>
      <c r="D1848" s="4" t="s">
        <v>489</v>
      </c>
      <c r="E1848" s="4" t="s">
        <v>490</v>
      </c>
      <c r="F1848" s="4" t="s">
        <v>45</v>
      </c>
      <c r="G1848" s="4" t="s">
        <v>408</v>
      </c>
      <c r="H1848" s="5">
        <f>ROUND(800,0)</f>
        <v>800</v>
      </c>
      <c r="I1848" s="6">
        <f>ROUND(2825,2)</f>
        <v>2825</v>
      </c>
      <c r="J1848" s="6">
        <f>ROUND(8.407077,2)</f>
        <v>8.41</v>
      </c>
      <c r="K1848" s="5">
        <f>ROUND(189999.94,0)</f>
        <v>190000</v>
      </c>
      <c r="L1848" s="7">
        <f>ROUND(0.0000660330874031383,4)</f>
        <v>1E-4</v>
      </c>
    </row>
    <row r="1849" spans="1:12">
      <c r="A1849" s="3" t="s">
        <v>3810</v>
      </c>
      <c r="B1849" s="4" t="s">
        <v>3811</v>
      </c>
      <c r="C1849" s="4" t="s">
        <v>534</v>
      </c>
      <c r="D1849" s="4" t="s">
        <v>541</v>
      </c>
      <c r="E1849" s="4" t="s">
        <v>542</v>
      </c>
      <c r="F1849" s="4" t="s">
        <v>18</v>
      </c>
      <c r="G1849" s="4" t="s">
        <v>408</v>
      </c>
      <c r="H1849" s="5">
        <f>ROUND(222,0)</f>
        <v>222</v>
      </c>
      <c r="I1849" s="6">
        <f>ROUND(86.24,2)</f>
        <v>86.24</v>
      </c>
      <c r="J1849" s="6">
        <f>ROUND(9.9055,2)</f>
        <v>9.91</v>
      </c>
      <c r="K1849" s="5">
        <f>ROUND(189643.57,0)</f>
        <v>189644</v>
      </c>
      <c r="L1849" s="7">
        <f>ROUND(0.0000659092336200378,4)</f>
        <v>1E-4</v>
      </c>
    </row>
    <row r="1850" spans="1:12">
      <c r="A1850" s="3" t="s">
        <v>3812</v>
      </c>
      <c r="B1850" s="4" t="s">
        <v>3813</v>
      </c>
      <c r="C1850" s="4" t="s">
        <v>445</v>
      </c>
      <c r="D1850" s="4" t="s">
        <v>486</v>
      </c>
      <c r="E1850" s="4" t="s">
        <v>30</v>
      </c>
      <c r="F1850" s="4" t="s">
        <v>20</v>
      </c>
      <c r="G1850" s="4" t="s">
        <v>408</v>
      </c>
      <c r="H1850" s="5">
        <f>ROUND(624,0)</f>
        <v>624</v>
      </c>
      <c r="I1850" s="6">
        <f>ROUND(2710,2)</f>
        <v>2710</v>
      </c>
      <c r="J1850" s="6">
        <f>ROUND(11.19645077,2)</f>
        <v>11.2</v>
      </c>
      <c r="K1850" s="5">
        <f>ROUND(189336.46,0)</f>
        <v>189336</v>
      </c>
      <c r="L1850" s="7">
        <f>ROUND(0.0000658024997891094,4)</f>
        <v>1E-4</v>
      </c>
    </row>
    <row r="1851" spans="1:12">
      <c r="A1851" s="3" t="s">
        <v>3814</v>
      </c>
      <c r="B1851" s="4" t="s">
        <v>3815</v>
      </c>
      <c r="C1851" s="4" t="s">
        <v>422</v>
      </c>
      <c r="D1851" s="4" t="s">
        <v>771</v>
      </c>
      <c r="E1851" s="4" t="s">
        <v>772</v>
      </c>
      <c r="F1851" s="4" t="s">
        <v>18</v>
      </c>
      <c r="G1851" s="4" t="s">
        <v>408</v>
      </c>
      <c r="H1851" s="5">
        <f>ROUND(2305,0)</f>
        <v>2305</v>
      </c>
      <c r="I1851" s="6">
        <f>ROUND(8.29,2)</f>
        <v>8.2899999999999991</v>
      </c>
      <c r="J1851" s="6">
        <f>ROUND(9.9055,2)</f>
        <v>9.91</v>
      </c>
      <c r="K1851" s="5">
        <f>ROUND(189278.75,0)</f>
        <v>189279</v>
      </c>
      <c r="L1851" s="7">
        <f>ROUND(0.0000657824431013334,4)</f>
        <v>1E-4</v>
      </c>
    </row>
    <row r="1852" spans="1:12">
      <c r="A1852" s="3" t="s">
        <v>3816</v>
      </c>
      <c r="B1852" s="4" t="s">
        <v>3817</v>
      </c>
      <c r="C1852" s="4" t="s">
        <v>534</v>
      </c>
      <c r="D1852" s="4" t="s">
        <v>489</v>
      </c>
      <c r="E1852" s="4" t="s">
        <v>490</v>
      </c>
      <c r="F1852" s="4" t="s">
        <v>45</v>
      </c>
      <c r="G1852" s="4" t="s">
        <v>408</v>
      </c>
      <c r="H1852" s="5">
        <f>ROUND(700,0)</f>
        <v>700</v>
      </c>
      <c r="I1852" s="6">
        <f>ROUND(3200,2)</f>
        <v>3200</v>
      </c>
      <c r="J1852" s="6">
        <f>ROUND(8.407077,2)</f>
        <v>8.41</v>
      </c>
      <c r="K1852" s="5">
        <f>ROUND(188318.52,0)</f>
        <v>188319</v>
      </c>
      <c r="L1852" s="7">
        <f>ROUND(0.0000654487221984893,4)</f>
        <v>1E-4</v>
      </c>
    </row>
    <row r="1853" spans="1:12">
      <c r="A1853" s="3" t="s">
        <v>3818</v>
      </c>
      <c r="B1853" s="4" t="s">
        <v>3819</v>
      </c>
      <c r="C1853" s="4" t="s">
        <v>534</v>
      </c>
      <c r="D1853" s="4" t="s">
        <v>723</v>
      </c>
      <c r="E1853" s="4" t="s">
        <v>724</v>
      </c>
      <c r="F1853" s="4" t="s">
        <v>18</v>
      </c>
      <c r="G1853" s="4" t="s">
        <v>408</v>
      </c>
      <c r="H1853" s="5">
        <f>ROUND(1527,0)</f>
        <v>1527</v>
      </c>
      <c r="I1853" s="6">
        <f>ROUND(12.45,2)</f>
        <v>12.45</v>
      </c>
      <c r="J1853" s="6">
        <f>ROUND(9.9055,2)</f>
        <v>9.91</v>
      </c>
      <c r="K1853" s="5">
        <f>ROUND(188314.95,0)</f>
        <v>188315</v>
      </c>
      <c r="L1853" s="7">
        <f>ROUND(0.0000654474814711395,4)</f>
        <v>1E-4</v>
      </c>
    </row>
    <row r="1854" spans="1:12">
      <c r="A1854" s="3" t="s">
        <v>3820</v>
      </c>
      <c r="B1854" s="4" t="s">
        <v>3821</v>
      </c>
      <c r="C1854" s="4" t="s">
        <v>545</v>
      </c>
      <c r="D1854" s="4" t="s">
        <v>1333</v>
      </c>
      <c r="E1854" s="4" t="s">
        <v>3</v>
      </c>
      <c r="F1854" s="4" t="s">
        <v>1334</v>
      </c>
      <c r="G1854" s="4" t="s">
        <v>408</v>
      </c>
      <c r="H1854" s="5">
        <f>ROUND(15600,0)</f>
        <v>15600</v>
      </c>
      <c r="I1854" s="6">
        <f>ROUND(18725,2)</f>
        <v>18725</v>
      </c>
      <c r="J1854" s="6">
        <f>ROUND(6.4008,2)</f>
        <v>6.4</v>
      </c>
      <c r="K1854" s="5">
        <f>ROUND(186973.77,0)</f>
        <v>186974</v>
      </c>
      <c r="L1854" s="7">
        <f>ROUND(0.0000649813641862427,4)</f>
        <v>1E-4</v>
      </c>
    </row>
    <row r="1855" spans="1:12">
      <c r="A1855" s="3" t="s">
        <v>3822</v>
      </c>
      <c r="B1855" s="4" t="s">
        <v>3823</v>
      </c>
      <c r="C1855" s="4" t="s">
        <v>400</v>
      </c>
      <c r="D1855" s="4" t="s">
        <v>489</v>
      </c>
      <c r="E1855" s="4" t="s">
        <v>490</v>
      </c>
      <c r="F1855" s="4" t="s">
        <v>45</v>
      </c>
      <c r="G1855" s="4" t="s">
        <v>408</v>
      </c>
      <c r="H1855" s="5">
        <f>ROUND(4000,0)</f>
        <v>4000</v>
      </c>
      <c r="I1855" s="6">
        <f>ROUND(556,2)</f>
        <v>556</v>
      </c>
      <c r="J1855" s="6">
        <f>ROUND(8.407077,2)</f>
        <v>8.41</v>
      </c>
      <c r="K1855" s="5">
        <f>ROUND(186973.39,0)</f>
        <v>186973</v>
      </c>
      <c r="L1855" s="7">
        <f>ROUND(0.0000649812321200262,4)</f>
        <v>1E-4</v>
      </c>
    </row>
    <row r="1856" spans="1:12">
      <c r="A1856" s="3" t="s">
        <v>3824</v>
      </c>
      <c r="B1856" s="4" t="s">
        <v>3825</v>
      </c>
      <c r="C1856" s="4" t="s">
        <v>406</v>
      </c>
      <c r="D1856" s="4" t="s">
        <v>489</v>
      </c>
      <c r="E1856" s="4" t="s">
        <v>490</v>
      </c>
      <c r="F1856" s="4" t="s">
        <v>45</v>
      </c>
      <c r="G1856" s="4" t="s">
        <v>408</v>
      </c>
      <c r="H1856" s="5">
        <f>ROUND(1100,0)</f>
        <v>1100</v>
      </c>
      <c r="I1856" s="6">
        <f>ROUND(2017,2)</f>
        <v>2017</v>
      </c>
      <c r="J1856" s="6">
        <f>ROUND(8.407077,2)</f>
        <v>8.41</v>
      </c>
      <c r="K1856" s="5">
        <f>ROUND(186527.82,0)</f>
        <v>186528</v>
      </c>
      <c r="L1856" s="7">
        <f>ROUND(0.0000648263775303131,4)</f>
        <v>1E-4</v>
      </c>
    </row>
    <row r="1857" spans="1:12">
      <c r="A1857" s="3" t="s">
        <v>3826</v>
      </c>
      <c r="B1857" s="4" t="s">
        <v>3827</v>
      </c>
      <c r="C1857" s="4" t="s">
        <v>493</v>
      </c>
      <c r="D1857" s="4" t="s">
        <v>789</v>
      </c>
      <c r="E1857" s="4" t="s">
        <v>790</v>
      </c>
      <c r="F1857" s="4" t="s">
        <v>791</v>
      </c>
      <c r="G1857" s="4" t="s">
        <v>408</v>
      </c>
      <c r="H1857" s="5">
        <f>ROUND(10816,0)</f>
        <v>10816</v>
      </c>
      <c r="I1857" s="6">
        <f>ROUND(134.5,2)</f>
        <v>134.5</v>
      </c>
      <c r="J1857" s="6">
        <f>ROUND(0.12820804,2)</f>
        <v>0.13</v>
      </c>
      <c r="K1857" s="5">
        <f>ROUND(186510.9,0)</f>
        <v>186511</v>
      </c>
      <c r="L1857" s="7">
        <f>ROUND(0.0000648204971082516,4)</f>
        <v>1E-4</v>
      </c>
    </row>
    <row r="1858" spans="1:12">
      <c r="A1858" s="3" t="s">
        <v>3828</v>
      </c>
      <c r="B1858" s="4" t="s">
        <v>3829</v>
      </c>
      <c r="C1858" s="4" t="s">
        <v>389</v>
      </c>
      <c r="D1858" s="4" t="s">
        <v>456</v>
      </c>
      <c r="E1858" s="4" t="s">
        <v>457</v>
      </c>
      <c r="F1858" s="4" t="s">
        <v>21</v>
      </c>
      <c r="G1858" s="4" t="s">
        <v>408</v>
      </c>
      <c r="H1858" s="5">
        <f>ROUND(2300,0)</f>
        <v>2300</v>
      </c>
      <c r="I1858" s="6">
        <f>ROUND(8.92,2)</f>
        <v>8.92</v>
      </c>
      <c r="J1858" s="6">
        <f>ROUND(9.08595,2)</f>
        <v>9.09</v>
      </c>
      <c r="K1858" s="5">
        <f>ROUND(186407.35,0)</f>
        <v>186407</v>
      </c>
      <c r="L1858" s="7">
        <f>ROUND(0.0000647845090642523,4)</f>
        <v>1E-4</v>
      </c>
    </row>
    <row r="1859" spans="1:12">
      <c r="A1859" s="3" t="s">
        <v>3830</v>
      </c>
      <c r="B1859" s="4" t="s">
        <v>3831</v>
      </c>
      <c r="C1859" s="4" t="s">
        <v>545</v>
      </c>
      <c r="D1859" s="4" t="s">
        <v>390</v>
      </c>
      <c r="E1859" s="4" t="s">
        <v>391</v>
      </c>
      <c r="F1859" s="4" t="s">
        <v>72</v>
      </c>
      <c r="G1859" s="4" t="s">
        <v>408</v>
      </c>
      <c r="H1859" s="5">
        <f>ROUND(6293,0)</f>
        <v>6293</v>
      </c>
      <c r="I1859" s="6">
        <f>ROUND(4.83,2)</f>
        <v>4.83</v>
      </c>
      <c r="J1859" s="6">
        <f>ROUND(6.12812423,2)</f>
        <v>6.13</v>
      </c>
      <c r="K1859" s="5">
        <f>ROUND(186265.5,0)</f>
        <v>186266</v>
      </c>
      <c r="L1859" s="7">
        <f>ROUND(0.0000647352101357992,4)</f>
        <v>1E-4</v>
      </c>
    </row>
    <row r="1860" spans="1:12">
      <c r="A1860" s="3" t="s">
        <v>3832</v>
      </c>
      <c r="B1860" s="4" t="s">
        <v>3833</v>
      </c>
      <c r="C1860" s="4" t="s">
        <v>389</v>
      </c>
      <c r="D1860" s="4" t="s">
        <v>541</v>
      </c>
      <c r="E1860" s="4" t="s">
        <v>542</v>
      </c>
      <c r="F1860" s="4" t="s">
        <v>18</v>
      </c>
      <c r="G1860" s="4" t="s">
        <v>408</v>
      </c>
      <c r="H1860" s="5">
        <f>ROUND(382,0)</f>
        <v>382</v>
      </c>
      <c r="I1860" s="6">
        <f>ROUND(49.15,2)</f>
        <v>49.15</v>
      </c>
      <c r="J1860" s="6">
        <f>ROUND(9.9055,2)</f>
        <v>9.91</v>
      </c>
      <c r="K1860" s="5">
        <f>ROUND(185978.73,0)</f>
        <v>185979</v>
      </c>
      <c r="L1860" s="7">
        <f>ROUND(0.0000646355453228809,4)</f>
        <v>1E-4</v>
      </c>
    </row>
    <row r="1861" spans="1:12">
      <c r="A1861" s="3" t="s">
        <v>3834</v>
      </c>
      <c r="B1861" s="4" t="s">
        <v>3835</v>
      </c>
      <c r="C1861" s="4" t="s">
        <v>415</v>
      </c>
      <c r="D1861" s="4" t="s">
        <v>1221</v>
      </c>
      <c r="E1861" s="4" t="s">
        <v>1222</v>
      </c>
      <c r="F1861" s="4" t="s">
        <v>1223</v>
      </c>
      <c r="G1861" s="4" t="s">
        <v>408</v>
      </c>
      <c r="H1861" s="5">
        <f>ROUND(13600,0)</f>
        <v>13600</v>
      </c>
      <c r="I1861" s="6">
        <f>ROUND(2.08,2)</f>
        <v>2.08</v>
      </c>
      <c r="J1861" s="6">
        <f>ROUND(6.57015886,2)</f>
        <v>6.57</v>
      </c>
      <c r="K1861" s="5">
        <f>ROUND(185856.65,0)</f>
        <v>185857</v>
      </c>
      <c r="L1861" s="7">
        <f>ROUND(0.0000645931173131132,4)</f>
        <v>1E-4</v>
      </c>
    </row>
    <row r="1862" spans="1:12">
      <c r="A1862" s="3" t="s">
        <v>3836</v>
      </c>
      <c r="B1862" s="4" t="s">
        <v>3837</v>
      </c>
      <c r="C1862" s="4" t="s">
        <v>534</v>
      </c>
      <c r="D1862" s="4" t="s">
        <v>1024</v>
      </c>
      <c r="E1862" s="4" t="s">
        <v>1025</v>
      </c>
      <c r="F1862" s="4" t="s">
        <v>1026</v>
      </c>
      <c r="G1862" s="4" t="s">
        <v>408</v>
      </c>
      <c r="H1862" s="5">
        <f>ROUND(1333,0)</f>
        <v>1333</v>
      </c>
      <c r="I1862" s="6">
        <f>ROUND(150.8,2)</f>
        <v>150.80000000000001</v>
      </c>
      <c r="J1862" s="6">
        <f>ROUND(0.92410673,2)</f>
        <v>0.92</v>
      </c>
      <c r="K1862" s="5">
        <f>ROUND(185760.61,0)</f>
        <v>185761</v>
      </c>
      <c r="L1862" s="7">
        <f>ROUND(0.0000645597393146034,4)</f>
        <v>1E-4</v>
      </c>
    </row>
    <row r="1863" spans="1:12">
      <c r="A1863" s="3" t="s">
        <v>3838</v>
      </c>
      <c r="B1863" s="4" t="s">
        <v>3839</v>
      </c>
      <c r="C1863" s="4" t="s">
        <v>534</v>
      </c>
      <c r="D1863" s="4" t="s">
        <v>407</v>
      </c>
      <c r="E1863" s="4" t="s">
        <v>35</v>
      </c>
      <c r="F1863" s="4" t="s">
        <v>21</v>
      </c>
      <c r="G1863" s="4" t="s">
        <v>408</v>
      </c>
      <c r="H1863" s="5">
        <f>ROUND(84,0)</f>
        <v>84</v>
      </c>
      <c r="I1863" s="6">
        <f>ROUND(242.97,2)</f>
        <v>242.97</v>
      </c>
      <c r="J1863" s="6">
        <f>ROUND(9.08595,2)</f>
        <v>9.09</v>
      </c>
      <c r="K1863" s="5">
        <f>ROUND(185439.51,0)</f>
        <v>185440</v>
      </c>
      <c r="L1863" s="7">
        <f>ROUND(0.0000644481433616512,4)</f>
        <v>1E-4</v>
      </c>
    </row>
    <row r="1864" spans="1:12">
      <c r="A1864" s="3" t="s">
        <v>3840</v>
      </c>
      <c r="B1864" s="4" t="s">
        <v>3841</v>
      </c>
      <c r="C1864" s="4" t="s">
        <v>545</v>
      </c>
      <c r="D1864" s="4" t="s">
        <v>1857</v>
      </c>
      <c r="E1864" s="4" t="s">
        <v>1858</v>
      </c>
      <c r="F1864" s="4" t="s">
        <v>1859</v>
      </c>
      <c r="G1864" s="4" t="s">
        <v>408</v>
      </c>
      <c r="H1864" s="5">
        <f>ROUND(6308,0)</f>
        <v>6308</v>
      </c>
      <c r="I1864" s="6">
        <f>ROUND(5.15,2)</f>
        <v>5.15</v>
      </c>
      <c r="J1864" s="6">
        <f>ROUND(5.69723636,2)</f>
        <v>5.7</v>
      </c>
      <c r="K1864" s="5">
        <f>ROUND(185081.56,0)</f>
        <v>185082</v>
      </c>
      <c r="L1864" s="7">
        <f>ROUND(0.0000643237404611242,4)</f>
        <v>1E-4</v>
      </c>
    </row>
    <row r="1865" spans="1:12">
      <c r="A1865" s="3" t="s">
        <v>3842</v>
      </c>
      <c r="B1865" s="4" t="s">
        <v>3843</v>
      </c>
      <c r="C1865" s="4" t="s">
        <v>545</v>
      </c>
      <c r="D1865" s="4" t="s">
        <v>1111</v>
      </c>
      <c r="E1865" s="4" t="s">
        <v>1112</v>
      </c>
      <c r="F1865" s="4" t="s">
        <v>18</v>
      </c>
      <c r="G1865" s="4" t="s">
        <v>408</v>
      </c>
      <c r="H1865" s="5">
        <f>ROUND(1683,0)</f>
        <v>1683</v>
      </c>
      <c r="I1865" s="6">
        <f>ROUND(11.055,2)</f>
        <v>11.06</v>
      </c>
      <c r="J1865" s="6">
        <f>ROUND(9.9055,2)</f>
        <v>9.91</v>
      </c>
      <c r="K1865" s="5">
        <f>ROUND(184297.47,0)</f>
        <v>184297</v>
      </c>
      <c r="L1865" s="7">
        <f>ROUND(0.00006405123572506,4)</f>
        <v>1E-4</v>
      </c>
    </row>
    <row r="1866" spans="1:12">
      <c r="A1866" s="3" t="s">
        <v>3844</v>
      </c>
      <c r="B1866" s="4" t="s">
        <v>3845</v>
      </c>
      <c r="C1866" s="4" t="s">
        <v>400</v>
      </c>
      <c r="D1866" s="4" t="s">
        <v>407</v>
      </c>
      <c r="E1866" s="4" t="s">
        <v>35</v>
      </c>
      <c r="F1866" s="4" t="s">
        <v>21</v>
      </c>
      <c r="G1866" s="4" t="s">
        <v>408</v>
      </c>
      <c r="H1866" s="5">
        <f>ROUND(500,0)</f>
        <v>500</v>
      </c>
      <c r="I1866" s="6">
        <f>ROUND(40.47,2)</f>
        <v>40.47</v>
      </c>
      <c r="J1866" s="6">
        <f>ROUND(9.08595,2)</f>
        <v>9.09</v>
      </c>
      <c r="K1866" s="5">
        <f>ROUND(183854.2,0)</f>
        <v>183854</v>
      </c>
      <c r="L1866" s="7">
        <f>ROUND(0.0000638971804834994,4)</f>
        <v>1E-4</v>
      </c>
    </row>
    <row r="1867" spans="1:12">
      <c r="A1867" s="3" t="s">
        <v>3846</v>
      </c>
      <c r="B1867" s="4" t="s">
        <v>3847</v>
      </c>
      <c r="C1867" s="4" t="s">
        <v>493</v>
      </c>
      <c r="D1867" s="4" t="s">
        <v>723</v>
      </c>
      <c r="E1867" s="4" t="s">
        <v>724</v>
      </c>
      <c r="F1867" s="4" t="s">
        <v>18</v>
      </c>
      <c r="G1867" s="4" t="s">
        <v>408</v>
      </c>
      <c r="H1867" s="5">
        <f>ROUND(996,0)</f>
        <v>996</v>
      </c>
      <c r="I1867" s="6">
        <f>ROUND(18.635,2)</f>
        <v>18.64</v>
      </c>
      <c r="J1867" s="6">
        <f>ROUND(9.9055,2)</f>
        <v>9.91</v>
      </c>
      <c r="K1867" s="5">
        <f>ROUND(183850.64,0)</f>
        <v>183851</v>
      </c>
      <c r="L1867" s="7">
        <f>ROUND(0.0000638959432315763,4)</f>
        <v>1E-4</v>
      </c>
    </row>
    <row r="1868" spans="1:12">
      <c r="A1868" s="3" t="s">
        <v>3848</v>
      </c>
      <c r="B1868" s="4" t="s">
        <v>3849</v>
      </c>
      <c r="C1868" s="4" t="s">
        <v>406</v>
      </c>
      <c r="D1868" s="4" t="s">
        <v>739</v>
      </c>
      <c r="E1868" s="4" t="s">
        <v>740</v>
      </c>
      <c r="F1868" s="4" t="s">
        <v>741</v>
      </c>
      <c r="G1868" s="4" t="s">
        <v>408</v>
      </c>
      <c r="H1868" s="5">
        <f>ROUND(212,0)</f>
        <v>212</v>
      </c>
      <c r="I1868" s="6">
        <f>ROUND(114000,2)</f>
        <v>114000</v>
      </c>
      <c r="J1868" s="6">
        <f>ROUND(0.00759599,2)</f>
        <v>0.01</v>
      </c>
      <c r="K1868" s="5">
        <f>ROUND(183579.89,0)</f>
        <v>183580</v>
      </c>
      <c r="L1868" s="7">
        <f>ROUND(0.000063801846052312,4)</f>
        <v>1E-4</v>
      </c>
    </row>
    <row r="1869" spans="1:12">
      <c r="A1869" s="3" t="s">
        <v>3850</v>
      </c>
      <c r="B1869" s="4" t="s">
        <v>3851</v>
      </c>
      <c r="C1869" s="4" t="s">
        <v>566</v>
      </c>
      <c r="D1869" s="4" t="s">
        <v>552</v>
      </c>
      <c r="E1869" s="4" t="s">
        <v>553</v>
      </c>
      <c r="F1869" s="4" t="s">
        <v>26</v>
      </c>
      <c r="G1869" s="4" t="s">
        <v>408</v>
      </c>
      <c r="H1869" s="5">
        <f>ROUND(5000,0)</f>
        <v>5000</v>
      </c>
      <c r="I1869" s="6">
        <f>ROUND(31.6,2)</f>
        <v>31.6</v>
      </c>
      <c r="J1869" s="6">
        <f>ROUND(1.15901246,2)</f>
        <v>1.1599999999999999</v>
      </c>
      <c r="K1869" s="5">
        <f>ROUND(183123.97,0)</f>
        <v>183124</v>
      </c>
      <c r="L1869" s="7">
        <f>ROUND(0.0000636433943959123,4)</f>
        <v>1E-4</v>
      </c>
    </row>
    <row r="1870" spans="1:12">
      <c r="A1870" s="3" t="s">
        <v>3852</v>
      </c>
      <c r="B1870" s="4" t="s">
        <v>3853</v>
      </c>
      <c r="C1870" s="4" t="s">
        <v>545</v>
      </c>
      <c r="D1870" s="4" t="s">
        <v>489</v>
      </c>
      <c r="E1870" s="4" t="s">
        <v>490</v>
      </c>
      <c r="F1870" s="4" t="s">
        <v>45</v>
      </c>
      <c r="G1870" s="4" t="s">
        <v>408</v>
      </c>
      <c r="H1870" s="5">
        <f>ROUND(900,0)</f>
        <v>900</v>
      </c>
      <c r="I1870" s="6">
        <f>ROUND(2416,2)</f>
        <v>2416</v>
      </c>
      <c r="J1870" s="6">
        <f>ROUND(8.407077,2)</f>
        <v>8.41</v>
      </c>
      <c r="K1870" s="5">
        <f>ROUND(182803.48,0)</f>
        <v>182803</v>
      </c>
      <c r="L1870" s="7">
        <f>ROUND(0.0000635320104439919,4)</f>
        <v>1E-4</v>
      </c>
    </row>
    <row r="1871" spans="1:12">
      <c r="A1871" s="3" t="s">
        <v>3854</v>
      </c>
      <c r="B1871" s="4" t="s">
        <v>3855</v>
      </c>
      <c r="C1871" s="4" t="s">
        <v>400</v>
      </c>
      <c r="D1871" s="4" t="s">
        <v>789</v>
      </c>
      <c r="E1871" s="4" t="s">
        <v>790</v>
      </c>
      <c r="F1871" s="4" t="s">
        <v>791</v>
      </c>
      <c r="G1871" s="4" t="s">
        <v>408</v>
      </c>
      <c r="H1871" s="5">
        <f>ROUND(5551,0)</f>
        <v>5551</v>
      </c>
      <c r="I1871" s="6">
        <f>ROUND(255.9,2)</f>
        <v>255.9</v>
      </c>
      <c r="J1871" s="6">
        <f>ROUND(0.12820804,2)</f>
        <v>0.13</v>
      </c>
      <c r="K1871" s="5">
        <f>ROUND(182119.64,0)</f>
        <v>182120</v>
      </c>
      <c r="L1871" s="7">
        <f>ROUND(0.0000632943468610994,4)</f>
        <v>1E-4</v>
      </c>
    </row>
    <row r="1872" spans="1:12">
      <c r="A1872" s="3" t="s">
        <v>3856</v>
      </c>
      <c r="B1872" s="4" t="s">
        <v>3857</v>
      </c>
      <c r="C1872" s="4" t="s">
        <v>389</v>
      </c>
      <c r="D1872" s="4" t="s">
        <v>489</v>
      </c>
      <c r="E1872" s="4" t="s">
        <v>490</v>
      </c>
      <c r="F1872" s="4" t="s">
        <v>45</v>
      </c>
      <c r="G1872" s="4" t="s">
        <v>408</v>
      </c>
      <c r="H1872" s="5">
        <f>ROUND(1000,0)</f>
        <v>1000</v>
      </c>
      <c r="I1872" s="6">
        <f>ROUND(2163,2)</f>
        <v>2163</v>
      </c>
      <c r="J1872" s="6">
        <f>ROUND(8.407077,2)</f>
        <v>8.41</v>
      </c>
      <c r="K1872" s="5">
        <f>ROUND(181845.08,0)</f>
        <v>181845</v>
      </c>
      <c r="L1872" s="7">
        <f>ROUND(0.0000631989255442432,4)</f>
        <v>1E-4</v>
      </c>
    </row>
    <row r="1873" spans="1:12">
      <c r="A1873" s="3" t="s">
        <v>3858</v>
      </c>
      <c r="B1873" s="4" t="s">
        <v>3859</v>
      </c>
      <c r="C1873" s="4" t="s">
        <v>389</v>
      </c>
      <c r="D1873" s="4" t="s">
        <v>489</v>
      </c>
      <c r="E1873" s="4" t="s">
        <v>490</v>
      </c>
      <c r="F1873" s="4" t="s">
        <v>45</v>
      </c>
      <c r="G1873" s="4" t="s">
        <v>408</v>
      </c>
      <c r="H1873" s="5">
        <f>ROUND(2500,0)</f>
        <v>2500</v>
      </c>
      <c r="I1873" s="6">
        <f>ROUND(862,2)</f>
        <v>862</v>
      </c>
      <c r="J1873" s="6">
        <f>ROUND(8.407077,2)</f>
        <v>8.41</v>
      </c>
      <c r="K1873" s="5">
        <f>ROUND(181172.51,0)</f>
        <v>181173</v>
      </c>
      <c r="L1873" s="7">
        <f>ROUND(0.0000629651787672982,4)</f>
        <v>1E-4</v>
      </c>
    </row>
    <row r="1874" spans="1:12">
      <c r="A1874" s="3" t="s">
        <v>3860</v>
      </c>
      <c r="B1874" s="4" t="s">
        <v>3861</v>
      </c>
      <c r="C1874" s="4" t="s">
        <v>430</v>
      </c>
      <c r="D1874" s="4" t="s">
        <v>407</v>
      </c>
      <c r="E1874" s="4" t="s">
        <v>35</v>
      </c>
      <c r="F1874" s="4" t="s">
        <v>21</v>
      </c>
      <c r="G1874" s="4" t="s">
        <v>408</v>
      </c>
      <c r="H1874" s="5">
        <f>ROUND(900,0)</f>
        <v>900</v>
      </c>
      <c r="I1874" s="6">
        <f>ROUND(22.11,2)</f>
        <v>22.11</v>
      </c>
      <c r="J1874" s="6">
        <f>ROUND(9.08595,2)</f>
        <v>9.09</v>
      </c>
      <c r="K1874" s="5">
        <f>ROUND(180801.32,0)</f>
        <v>180801</v>
      </c>
      <c r="L1874" s="7">
        <f>ROUND(0.0000628361744017539,4)</f>
        <v>1E-4</v>
      </c>
    </row>
    <row r="1875" spans="1:12">
      <c r="A1875" s="3" t="s">
        <v>3862</v>
      </c>
      <c r="B1875" s="4" t="s">
        <v>3863</v>
      </c>
      <c r="C1875" s="4" t="s">
        <v>534</v>
      </c>
      <c r="D1875" s="4" t="s">
        <v>407</v>
      </c>
      <c r="E1875" s="4" t="s">
        <v>35</v>
      </c>
      <c r="F1875" s="4" t="s">
        <v>21</v>
      </c>
      <c r="G1875" s="4" t="s">
        <v>408</v>
      </c>
      <c r="H1875" s="5">
        <f>ROUND(582,0)</f>
        <v>582</v>
      </c>
      <c r="I1875" s="6">
        <f>ROUND(34.07,2)</f>
        <v>34.07</v>
      </c>
      <c r="J1875" s="6">
        <f>ROUND(9.08595,2)</f>
        <v>9.09</v>
      </c>
      <c r="K1875" s="5">
        <f>ROUND(180162.94,0)</f>
        <v>180163</v>
      </c>
      <c r="L1875" s="7">
        <f>ROUND(0.0000626143101088682,4)</f>
        <v>1E-4</v>
      </c>
    </row>
    <row r="1876" spans="1:12">
      <c r="A1876" s="3" t="s">
        <v>3864</v>
      </c>
      <c r="B1876" s="4" t="s">
        <v>3865</v>
      </c>
      <c r="C1876" s="4" t="s">
        <v>545</v>
      </c>
      <c r="D1876" s="4" t="s">
        <v>489</v>
      </c>
      <c r="E1876" s="4" t="s">
        <v>490</v>
      </c>
      <c r="F1876" s="4" t="s">
        <v>45</v>
      </c>
      <c r="G1876" s="4" t="s">
        <v>408</v>
      </c>
      <c r="H1876" s="5">
        <f>ROUND(1500,0)</f>
        <v>1500</v>
      </c>
      <c r="I1876" s="6">
        <f>ROUND(1428,2)</f>
        <v>1428</v>
      </c>
      <c r="J1876" s="6">
        <f>ROUND(8.407077,2)</f>
        <v>8.41</v>
      </c>
      <c r="K1876" s="5">
        <f>ROUND(180079.59,0)</f>
        <v>180080</v>
      </c>
      <c r="L1876" s="7">
        <f>ROUND(0.0000625853424269045,4)</f>
        <v>1E-4</v>
      </c>
    </row>
    <row r="1877" spans="1:12">
      <c r="A1877" s="3" t="s">
        <v>3866</v>
      </c>
      <c r="B1877" s="4" t="s">
        <v>3867</v>
      </c>
      <c r="C1877" s="4" t="s">
        <v>400</v>
      </c>
      <c r="D1877" s="4" t="s">
        <v>489</v>
      </c>
      <c r="E1877" s="4" t="s">
        <v>490</v>
      </c>
      <c r="F1877" s="4" t="s">
        <v>45</v>
      </c>
      <c r="G1877" s="4" t="s">
        <v>408</v>
      </c>
      <c r="H1877" s="5">
        <f>ROUND(4000,0)</f>
        <v>4000</v>
      </c>
      <c r="I1877" s="6">
        <f>ROUND(534,2)</f>
        <v>534</v>
      </c>
      <c r="J1877" s="6">
        <f>ROUND(8.407077,2)</f>
        <v>8.41</v>
      </c>
      <c r="K1877" s="5">
        <f>ROUND(179575.16,0)</f>
        <v>179575</v>
      </c>
      <c r="L1877" s="7">
        <f>ROUND(0.0000624100314753391,4)</f>
        <v>1E-4</v>
      </c>
    </row>
    <row r="1878" spans="1:12">
      <c r="A1878" s="3" t="s">
        <v>3868</v>
      </c>
      <c r="B1878" s="4" t="s">
        <v>3869</v>
      </c>
      <c r="C1878" s="4" t="s">
        <v>389</v>
      </c>
      <c r="D1878" s="4" t="s">
        <v>1111</v>
      </c>
      <c r="E1878" s="4" t="s">
        <v>1112</v>
      </c>
      <c r="F1878" s="4" t="s">
        <v>18</v>
      </c>
      <c r="G1878" s="4" t="s">
        <v>408</v>
      </c>
      <c r="H1878" s="5">
        <f>ROUND(700,0)</f>
        <v>700</v>
      </c>
      <c r="I1878" s="6">
        <f>ROUND(25.88,2)</f>
        <v>25.88</v>
      </c>
      <c r="J1878" s="6">
        <f>ROUND(9.9055,2)</f>
        <v>9.91</v>
      </c>
      <c r="K1878" s="5">
        <f>ROUND(179448.04,0)</f>
        <v>179448</v>
      </c>
      <c r="L1878" s="7">
        <f>ROUND(0.0000623658518504893,4)</f>
        <v>1E-4</v>
      </c>
    </row>
    <row r="1879" spans="1:12">
      <c r="A1879" s="3" t="s">
        <v>3870</v>
      </c>
      <c r="B1879" s="4" t="s">
        <v>3871</v>
      </c>
      <c r="C1879" s="4" t="s">
        <v>534</v>
      </c>
      <c r="D1879" s="4" t="s">
        <v>407</v>
      </c>
      <c r="E1879" s="4" t="s">
        <v>35</v>
      </c>
      <c r="F1879" s="4" t="s">
        <v>21</v>
      </c>
      <c r="G1879" s="4" t="s">
        <v>408</v>
      </c>
      <c r="H1879" s="5">
        <f>ROUND(500,0)</f>
        <v>500</v>
      </c>
      <c r="I1879" s="6">
        <f>ROUND(39.47,2)</f>
        <v>39.47</v>
      </c>
      <c r="J1879" s="6">
        <f>ROUND(9.08595,2)</f>
        <v>9.09</v>
      </c>
      <c r="K1879" s="5">
        <f>ROUND(179311.22,0)</f>
        <v>179311</v>
      </c>
      <c r="L1879" s="7">
        <f>ROUND(0.0000623183010616917,4)</f>
        <v>1E-4</v>
      </c>
    </row>
    <row r="1880" spans="1:12">
      <c r="A1880" s="3" t="s">
        <v>3872</v>
      </c>
      <c r="B1880" s="4" t="s">
        <v>3873</v>
      </c>
      <c r="C1880" s="4" t="s">
        <v>422</v>
      </c>
      <c r="D1880" s="4" t="s">
        <v>456</v>
      </c>
      <c r="E1880" s="4" t="s">
        <v>457</v>
      </c>
      <c r="F1880" s="4" t="s">
        <v>26</v>
      </c>
      <c r="G1880" s="4" t="s">
        <v>408</v>
      </c>
      <c r="H1880" s="5">
        <f>ROUND(14000,0)</f>
        <v>14000</v>
      </c>
      <c r="I1880" s="6">
        <f>ROUND(11.04,2)</f>
        <v>11.04</v>
      </c>
      <c r="J1880" s="6">
        <f>ROUND(1.15901246,2)</f>
        <v>1.1599999999999999</v>
      </c>
      <c r="K1880" s="5">
        <f>ROUND(179136.97,0)</f>
        <v>179137</v>
      </c>
      <c r="L1880" s="7">
        <f>ROUND(0.0000622577417505677,4)</f>
        <v>1E-4</v>
      </c>
    </row>
    <row r="1881" spans="1:12">
      <c r="A1881" s="3" t="s">
        <v>3874</v>
      </c>
      <c r="B1881" s="4" t="s">
        <v>3875</v>
      </c>
      <c r="C1881" s="4" t="s">
        <v>400</v>
      </c>
      <c r="D1881" s="4" t="s">
        <v>496</v>
      </c>
      <c r="E1881" s="4" t="s">
        <v>497</v>
      </c>
      <c r="F1881" s="4" t="s">
        <v>18</v>
      </c>
      <c r="G1881" s="4" t="s">
        <v>408</v>
      </c>
      <c r="H1881" s="5">
        <f>ROUND(4966,0)</f>
        <v>4966</v>
      </c>
      <c r="I1881" s="6">
        <f>ROUND(3.64,2)</f>
        <v>3.64</v>
      </c>
      <c r="J1881" s="6">
        <f>ROUND(9.9055,2)</f>
        <v>9.91</v>
      </c>
      <c r="K1881" s="5">
        <f>ROUND(179054.2,0)</f>
        <v>179054</v>
      </c>
      <c r="L1881" s="7">
        <f>ROUND(0.0000622289756433555,4)</f>
        <v>1E-4</v>
      </c>
    </row>
    <row r="1882" spans="1:12">
      <c r="A1882" s="3" t="s">
        <v>3876</v>
      </c>
      <c r="B1882" s="4" t="s">
        <v>3877</v>
      </c>
      <c r="C1882" s="4" t="s">
        <v>400</v>
      </c>
      <c r="D1882" s="4" t="s">
        <v>717</v>
      </c>
      <c r="E1882" s="4" t="s">
        <v>718</v>
      </c>
      <c r="F1882" s="4" t="s">
        <v>175</v>
      </c>
      <c r="G1882" s="4" t="s">
        <v>408</v>
      </c>
      <c r="H1882" s="5">
        <f>ROUND(232,0)</f>
        <v>232</v>
      </c>
      <c r="I1882" s="6">
        <f>ROUND(128744,2)</f>
        <v>128744</v>
      </c>
      <c r="J1882" s="6">
        <f>ROUND(0.59923836,2)</f>
        <v>0.6</v>
      </c>
      <c r="K1882" s="5">
        <f>ROUND(178984.16,0)</f>
        <v>178984</v>
      </c>
      <c r="L1882" s="7">
        <f>ROUND(0.0000622046337543964,4)</f>
        <v>1E-4</v>
      </c>
    </row>
    <row r="1883" spans="1:12">
      <c r="A1883" s="3" t="s">
        <v>3878</v>
      </c>
      <c r="B1883" s="4" t="s">
        <v>3879</v>
      </c>
      <c r="C1883" s="4" t="s">
        <v>406</v>
      </c>
      <c r="D1883" s="4" t="s">
        <v>489</v>
      </c>
      <c r="E1883" s="4" t="s">
        <v>490</v>
      </c>
      <c r="F1883" s="4" t="s">
        <v>45</v>
      </c>
      <c r="G1883" s="4" t="s">
        <v>408</v>
      </c>
      <c r="H1883" s="5">
        <f>ROUND(1400,0)</f>
        <v>1400</v>
      </c>
      <c r="I1883" s="6">
        <f>ROUND(1520,2)</f>
        <v>1520</v>
      </c>
      <c r="J1883" s="6">
        <f>ROUND(8.407077,2)</f>
        <v>8.41</v>
      </c>
      <c r="K1883" s="5">
        <f>ROUND(178902.6,0)</f>
        <v>178903</v>
      </c>
      <c r="L1883" s="7">
        <f>ROUND(0.0000621762881738209,4)</f>
        <v>1E-4</v>
      </c>
    </row>
    <row r="1884" spans="1:12">
      <c r="A1884" s="3" t="s">
        <v>3880</v>
      </c>
      <c r="B1884" s="4" t="s">
        <v>3881</v>
      </c>
      <c r="C1884" s="4" t="s">
        <v>534</v>
      </c>
      <c r="D1884" s="4" t="s">
        <v>489</v>
      </c>
      <c r="E1884" s="4" t="s">
        <v>490</v>
      </c>
      <c r="F1884" s="4" t="s">
        <v>45</v>
      </c>
      <c r="G1884" s="4" t="s">
        <v>408</v>
      </c>
      <c r="H1884" s="5">
        <f>ROUND(1500,0)</f>
        <v>1500</v>
      </c>
      <c r="I1884" s="6">
        <f>ROUND(1417,2)</f>
        <v>1417</v>
      </c>
      <c r="J1884" s="6">
        <f>ROUND(8.407077,2)</f>
        <v>8.41</v>
      </c>
      <c r="K1884" s="5">
        <f>ROUND(178692.42,0)</f>
        <v>178692</v>
      </c>
      <c r="L1884" s="7">
        <f>ROUND(0.0000621032416543831,4)</f>
        <v>1E-4</v>
      </c>
    </row>
    <row r="1885" spans="1:12">
      <c r="A1885" s="3" t="s">
        <v>3882</v>
      </c>
      <c r="B1885" s="4" t="s">
        <v>3883</v>
      </c>
      <c r="C1885" s="4" t="s">
        <v>545</v>
      </c>
      <c r="D1885" s="4" t="s">
        <v>489</v>
      </c>
      <c r="E1885" s="4" t="s">
        <v>490</v>
      </c>
      <c r="F1885" s="4" t="s">
        <v>45</v>
      </c>
      <c r="G1885" s="4" t="s">
        <v>408</v>
      </c>
      <c r="H1885" s="5">
        <f>ROUND(1600,0)</f>
        <v>1600</v>
      </c>
      <c r="I1885" s="6">
        <f>ROUND(1327,2)</f>
        <v>1327</v>
      </c>
      <c r="J1885" s="6">
        <f>ROUND(8.407077,2)</f>
        <v>8.41</v>
      </c>
      <c r="K1885" s="5">
        <f>ROUND(178499.06,0)</f>
        <v>178499</v>
      </c>
      <c r="L1885" s="7">
        <f>ROUND(0.0000620360408027393,4)</f>
        <v>1E-4</v>
      </c>
    </row>
    <row r="1886" spans="1:12">
      <c r="A1886" s="3" t="s">
        <v>3884</v>
      </c>
      <c r="B1886" s="4" t="s">
        <v>3885</v>
      </c>
      <c r="C1886" s="4" t="s">
        <v>422</v>
      </c>
      <c r="D1886" s="4" t="s">
        <v>541</v>
      </c>
      <c r="E1886" s="4" t="s">
        <v>542</v>
      </c>
      <c r="F1886" s="4" t="s">
        <v>18</v>
      </c>
      <c r="G1886" s="4" t="s">
        <v>408</v>
      </c>
      <c r="H1886" s="5">
        <f>ROUND(1244,0)</f>
        <v>1244</v>
      </c>
      <c r="I1886" s="6">
        <f>ROUND(14.48,2)</f>
        <v>14.48</v>
      </c>
      <c r="J1886" s="6">
        <f>ROUND(9.9055,2)</f>
        <v>9.91</v>
      </c>
      <c r="K1886" s="5">
        <f>ROUND(178428.96,0)</f>
        <v>178429</v>
      </c>
      <c r="L1886" s="7">
        <f>ROUND(0.0000620116780612197,4)</f>
        <v>1E-4</v>
      </c>
    </row>
    <row r="1887" spans="1:12">
      <c r="A1887" s="3" t="s">
        <v>3886</v>
      </c>
      <c r="B1887" s="4" t="s">
        <v>3887</v>
      </c>
      <c r="C1887" s="4" t="s">
        <v>400</v>
      </c>
      <c r="D1887" s="4" t="s">
        <v>717</v>
      </c>
      <c r="E1887" s="4" t="s">
        <v>718</v>
      </c>
      <c r="F1887" s="4" t="s">
        <v>175</v>
      </c>
      <c r="G1887" s="4" t="s">
        <v>408</v>
      </c>
      <c r="H1887" s="5">
        <f>ROUND(3710,0)</f>
        <v>3710</v>
      </c>
      <c r="I1887" s="6">
        <f>ROUND(7985,2)</f>
        <v>7985</v>
      </c>
      <c r="J1887" s="6">
        <f>ROUND(0.59923836,2)</f>
        <v>0.6</v>
      </c>
      <c r="K1887" s="5">
        <f>ROUND(177520.47,0)</f>
        <v>177520</v>
      </c>
      <c r="L1887" s="7">
        <f>ROUND(0.0000616959390163817,4)</f>
        <v>1E-4</v>
      </c>
    </row>
    <row r="1888" spans="1:12">
      <c r="A1888" s="3" t="s">
        <v>3888</v>
      </c>
      <c r="B1888" s="4" t="s">
        <v>3889</v>
      </c>
      <c r="C1888" s="4" t="s">
        <v>400</v>
      </c>
      <c r="D1888" s="4" t="s">
        <v>1724</v>
      </c>
      <c r="E1888" s="4" t="s">
        <v>1725</v>
      </c>
      <c r="F1888" s="4" t="s">
        <v>1726</v>
      </c>
      <c r="G1888" s="4" t="s">
        <v>408</v>
      </c>
      <c r="H1888" s="5">
        <f>ROUND(5000,0)</f>
        <v>5000</v>
      </c>
      <c r="I1888" s="6">
        <f>ROUND(16.36,2)</f>
        <v>16.36</v>
      </c>
      <c r="J1888" s="6">
        <f>ROUND(2.17002213,2)</f>
        <v>2.17</v>
      </c>
      <c r="K1888" s="5">
        <f>ROUND(177507.81,0)</f>
        <v>177508</v>
      </c>
      <c r="L1888" s="7">
        <f>ROUND(0.0000616915391261158,4)</f>
        <v>1E-4</v>
      </c>
    </row>
    <row r="1889" spans="1:12">
      <c r="A1889" s="3" t="s">
        <v>3890</v>
      </c>
      <c r="B1889" s="4" t="s">
        <v>3891</v>
      </c>
      <c r="C1889" s="4" t="s">
        <v>389</v>
      </c>
      <c r="D1889" s="4" t="s">
        <v>541</v>
      </c>
      <c r="E1889" s="4" t="s">
        <v>542</v>
      </c>
      <c r="F1889" s="4" t="s">
        <v>18</v>
      </c>
      <c r="G1889" s="4" t="s">
        <v>408</v>
      </c>
      <c r="H1889" s="5">
        <f>ROUND(351,0)</f>
        <v>351</v>
      </c>
      <c r="I1889" s="6">
        <f>ROUND(50.95,2)</f>
        <v>50.95</v>
      </c>
      <c r="J1889" s="6">
        <f>ROUND(9.9055,2)</f>
        <v>9.91</v>
      </c>
      <c r="K1889" s="5">
        <f>ROUND(177144.51,0)</f>
        <v>177145</v>
      </c>
      <c r="L1889" s="7">
        <f>ROUND(0.0000615652768722774,4)</f>
        <v>1E-4</v>
      </c>
    </row>
    <row r="1890" spans="1:12">
      <c r="A1890" s="3" t="s">
        <v>3892</v>
      </c>
      <c r="B1890" s="4" t="s">
        <v>3893</v>
      </c>
      <c r="C1890" s="4" t="s">
        <v>400</v>
      </c>
      <c r="D1890" s="4" t="s">
        <v>486</v>
      </c>
      <c r="E1890" s="4" t="s">
        <v>30</v>
      </c>
      <c r="F1890" s="4" t="s">
        <v>20</v>
      </c>
      <c r="G1890" s="4" t="s">
        <v>408</v>
      </c>
      <c r="H1890" s="5">
        <f>ROUND(3769,0)</f>
        <v>3769</v>
      </c>
      <c r="I1890" s="6">
        <f>ROUND(418.7,2)</f>
        <v>418.7</v>
      </c>
      <c r="J1890" s="6">
        <f>ROUND(11.19645077,2)</f>
        <v>11.2</v>
      </c>
      <c r="K1890" s="5">
        <f>ROUND(176688.95,0)</f>
        <v>176689</v>
      </c>
      <c r="L1890" s="7">
        <f>ROUND(0.0000614069503312408,4)</f>
        <v>1E-4</v>
      </c>
    </row>
    <row r="1891" spans="1:12">
      <c r="A1891" s="3" t="s">
        <v>3894</v>
      </c>
      <c r="B1891" s="4" t="s">
        <v>3895</v>
      </c>
      <c r="C1891" s="4" t="s">
        <v>389</v>
      </c>
      <c r="D1891" s="4" t="s">
        <v>2447</v>
      </c>
      <c r="E1891" s="4" t="s">
        <v>2448</v>
      </c>
      <c r="F1891" s="4" t="s">
        <v>250</v>
      </c>
      <c r="G1891" s="4" t="s">
        <v>408</v>
      </c>
      <c r="H1891" s="5">
        <f>ROUND(9,0)</f>
        <v>9</v>
      </c>
      <c r="I1891" s="6">
        <f>ROUND(8600,2)</f>
        <v>8600</v>
      </c>
      <c r="J1891" s="6">
        <f>ROUND(2.26631585,2)</f>
        <v>2.27</v>
      </c>
      <c r="K1891" s="5">
        <f>ROUND(175412.85,0)</f>
        <v>175413</v>
      </c>
      <c r="L1891" s="7">
        <f>ROUND(0.000060963451123635,4)</f>
        <v>1E-4</v>
      </c>
    </row>
    <row r="1892" spans="1:12">
      <c r="A1892" s="3" t="s">
        <v>3896</v>
      </c>
      <c r="B1892" s="4" t="s">
        <v>3897</v>
      </c>
      <c r="C1892" s="4" t="s">
        <v>445</v>
      </c>
      <c r="D1892" s="4" t="s">
        <v>1217</v>
      </c>
      <c r="E1892" s="4" t="s">
        <v>1218</v>
      </c>
      <c r="F1892" s="4" t="s">
        <v>26</v>
      </c>
      <c r="G1892" s="4" t="s">
        <v>408</v>
      </c>
      <c r="H1892" s="5">
        <f>ROUND(22000,0)</f>
        <v>22000</v>
      </c>
      <c r="I1892" s="6">
        <f>ROUND(6.85,2)</f>
        <v>6.85</v>
      </c>
      <c r="J1892" s="6">
        <f>ROUND(1.15901246,2)</f>
        <v>1.1599999999999999</v>
      </c>
      <c r="K1892" s="5">
        <f>ROUND(174663.18,0)</f>
        <v>174663</v>
      </c>
      <c r="L1892" s="7">
        <f>ROUND(0.0000607029088064452,4)</f>
        <v>1E-4</v>
      </c>
    </row>
    <row r="1893" spans="1:12">
      <c r="A1893" s="3" t="s">
        <v>3898</v>
      </c>
      <c r="B1893" s="4" t="s">
        <v>3899</v>
      </c>
      <c r="C1893" s="4" t="s">
        <v>415</v>
      </c>
      <c r="D1893" s="4" t="s">
        <v>1652</v>
      </c>
      <c r="E1893" s="4" t="s">
        <v>1653</v>
      </c>
      <c r="F1893" s="4" t="s">
        <v>22</v>
      </c>
      <c r="G1893" s="4" t="s">
        <v>408</v>
      </c>
      <c r="H1893" s="5">
        <f>ROUND(880,0)</f>
        <v>880</v>
      </c>
      <c r="I1893" s="6">
        <f>ROUND(1132,2)</f>
        <v>1132</v>
      </c>
      <c r="J1893" s="6">
        <f>ROUND(0.17530276,2)</f>
        <v>0.18</v>
      </c>
      <c r="K1893" s="5">
        <f>ROUND(174629.6,0)</f>
        <v>174630</v>
      </c>
      <c r="L1893" s="7">
        <f>ROUND(0.0000606912383234177,4)</f>
        <v>1E-4</v>
      </c>
    </row>
    <row r="1894" spans="1:12">
      <c r="A1894" s="3" t="s">
        <v>3900</v>
      </c>
      <c r="B1894" s="4" t="s">
        <v>3901</v>
      </c>
      <c r="C1894" s="4" t="s">
        <v>545</v>
      </c>
      <c r="D1894" s="4" t="s">
        <v>489</v>
      </c>
      <c r="E1894" s="4" t="s">
        <v>490</v>
      </c>
      <c r="F1894" s="4" t="s">
        <v>45</v>
      </c>
      <c r="G1894" s="4" t="s">
        <v>408</v>
      </c>
      <c r="H1894" s="5">
        <f>ROUND(1200,0)</f>
        <v>1200</v>
      </c>
      <c r="I1894" s="6">
        <f>ROUND(1729,2)</f>
        <v>1729</v>
      </c>
      <c r="J1894" s="6">
        <f>ROUND(8.407077,2)</f>
        <v>8.41</v>
      </c>
      <c r="K1894" s="5">
        <f>ROUND(174430.03,0)</f>
        <v>174430</v>
      </c>
      <c r="L1894" s="7">
        <f>ROUND(0.000060621879231762,4)</f>
        <v>1E-4</v>
      </c>
    </row>
    <row r="1895" spans="1:12">
      <c r="A1895" s="3" t="s">
        <v>3902</v>
      </c>
      <c r="B1895" s="4" t="s">
        <v>3903</v>
      </c>
      <c r="C1895" s="4" t="s">
        <v>389</v>
      </c>
      <c r="D1895" s="4" t="s">
        <v>1217</v>
      </c>
      <c r="E1895" s="4" t="s">
        <v>1218</v>
      </c>
      <c r="F1895" s="4" t="s">
        <v>26</v>
      </c>
      <c r="G1895" s="4" t="s">
        <v>408</v>
      </c>
      <c r="H1895" s="5">
        <f>ROUND(7000,0)</f>
        <v>7000</v>
      </c>
      <c r="I1895" s="6">
        <f>ROUND(21.45,2)</f>
        <v>21.45</v>
      </c>
      <c r="J1895" s="6">
        <f>ROUND(1.15901246,2)</f>
        <v>1.1599999999999999</v>
      </c>
      <c r="K1895" s="5">
        <f>ROUND(174025.72,0)</f>
        <v>174026</v>
      </c>
      <c r="L1895" s="7">
        <f>ROUND(0.0000604813642528206,4)</f>
        <v>1E-4</v>
      </c>
    </row>
    <row r="1896" spans="1:12">
      <c r="A1896" s="3" t="s">
        <v>3904</v>
      </c>
      <c r="B1896" s="4" t="s">
        <v>3905</v>
      </c>
      <c r="C1896" s="4" t="s">
        <v>566</v>
      </c>
      <c r="D1896" s="4" t="s">
        <v>655</v>
      </c>
      <c r="E1896" s="4" t="s">
        <v>656</v>
      </c>
      <c r="F1896" s="4" t="s">
        <v>26</v>
      </c>
      <c r="G1896" s="4" t="s">
        <v>408</v>
      </c>
      <c r="H1896" s="5">
        <f>ROUND(5500,0)</f>
        <v>5500</v>
      </c>
      <c r="I1896" s="6">
        <f>ROUND(27.3,2)</f>
        <v>27.3</v>
      </c>
      <c r="J1896" s="6">
        <f>ROUND(1.15901246,2)</f>
        <v>1.1599999999999999</v>
      </c>
      <c r="K1896" s="5">
        <f>ROUND(174025.72,0)</f>
        <v>174026</v>
      </c>
      <c r="L1896" s="7">
        <f>ROUND(0.0000604813642528206,4)</f>
        <v>1E-4</v>
      </c>
    </row>
    <row r="1897" spans="1:12">
      <c r="A1897" s="3" t="s">
        <v>3906</v>
      </c>
      <c r="B1897" s="4" t="s">
        <v>3907</v>
      </c>
      <c r="C1897" s="4" t="s">
        <v>422</v>
      </c>
      <c r="D1897" s="4" t="s">
        <v>456</v>
      </c>
      <c r="E1897" s="4" t="s">
        <v>457</v>
      </c>
      <c r="F1897" s="4" t="s">
        <v>26</v>
      </c>
      <c r="G1897" s="4" t="s">
        <v>408</v>
      </c>
      <c r="H1897" s="5">
        <f>ROUND(31000,0)</f>
        <v>31000</v>
      </c>
      <c r="I1897" s="6">
        <f>ROUND(4.81,2)</f>
        <v>4.8099999999999996</v>
      </c>
      <c r="J1897" s="6">
        <f>ROUND(1.15901246,2)</f>
        <v>1.1599999999999999</v>
      </c>
      <c r="K1897" s="5">
        <f>ROUND(172820.35,0)</f>
        <v>172820</v>
      </c>
      <c r="L1897" s="7">
        <f>ROUND(0.0000600624467386197,4)</f>
        <v>1E-4</v>
      </c>
    </row>
    <row r="1898" spans="1:12">
      <c r="A1898" s="3" t="s">
        <v>3908</v>
      </c>
      <c r="B1898" s="4" t="s">
        <v>3909</v>
      </c>
      <c r="C1898" s="4" t="s">
        <v>389</v>
      </c>
      <c r="D1898" s="4" t="s">
        <v>552</v>
      </c>
      <c r="E1898" s="4" t="s">
        <v>553</v>
      </c>
      <c r="F1898" s="4" t="s">
        <v>26</v>
      </c>
      <c r="G1898" s="4" t="s">
        <v>408</v>
      </c>
      <c r="H1898" s="5">
        <f>ROUND(20000,0)</f>
        <v>20000</v>
      </c>
      <c r="I1898" s="6">
        <f>ROUND(7.45,2)</f>
        <v>7.45</v>
      </c>
      <c r="J1898" s="6">
        <f>ROUND(1.15901246,2)</f>
        <v>1.1599999999999999</v>
      </c>
      <c r="K1898" s="5">
        <f>ROUND(172692.86,0)</f>
        <v>172693</v>
      </c>
      <c r="L1898" s="7">
        <f>ROUND(0.0000600181385229801,4)</f>
        <v>1E-4</v>
      </c>
    </row>
    <row r="1899" spans="1:12">
      <c r="A1899" s="3" t="s">
        <v>3910</v>
      </c>
      <c r="B1899" s="4" t="s">
        <v>3911</v>
      </c>
      <c r="C1899" s="4" t="s">
        <v>445</v>
      </c>
      <c r="D1899" s="4" t="s">
        <v>489</v>
      </c>
      <c r="E1899" s="4" t="s">
        <v>490</v>
      </c>
      <c r="F1899" s="4" t="s">
        <v>45</v>
      </c>
      <c r="G1899" s="4" t="s">
        <v>408</v>
      </c>
      <c r="H1899" s="5">
        <f>ROUND(400,0)</f>
        <v>400</v>
      </c>
      <c r="I1899" s="6">
        <f>ROUND(5130,2)</f>
        <v>5130</v>
      </c>
      <c r="J1899" s="6">
        <f>ROUND(8.407077,2)</f>
        <v>8.41</v>
      </c>
      <c r="K1899" s="5">
        <f>ROUND(172513.22,0)</f>
        <v>172513</v>
      </c>
      <c r="L1899" s="7">
        <f>ROUND(0.0000599557059568378,4)</f>
        <v>1E-4</v>
      </c>
    </row>
    <row r="1900" spans="1:12">
      <c r="A1900" s="3" t="s">
        <v>3912</v>
      </c>
      <c r="B1900" s="4" t="s">
        <v>3913</v>
      </c>
      <c r="C1900" s="4" t="s">
        <v>406</v>
      </c>
      <c r="D1900" s="4" t="s">
        <v>407</v>
      </c>
      <c r="E1900" s="4" t="s">
        <v>35</v>
      </c>
      <c r="F1900" s="4" t="s">
        <v>21</v>
      </c>
      <c r="G1900" s="4" t="s">
        <v>408</v>
      </c>
      <c r="H1900" s="5">
        <f>ROUND(278,0)</f>
        <v>278</v>
      </c>
      <c r="I1900" s="6">
        <f>ROUND(68.18,2)</f>
        <v>68.180000000000007</v>
      </c>
      <c r="J1900" s="6">
        <f>ROUND(9.08595,2)</f>
        <v>9.09</v>
      </c>
      <c r="K1900" s="5">
        <f>ROUND(172215.46,0)</f>
        <v>172215</v>
      </c>
      <c r="L1900" s="7">
        <f>ROUND(0.0000598522216499208,4)</f>
        <v>1E-4</v>
      </c>
    </row>
    <row r="1901" spans="1:12">
      <c r="A1901" s="3" t="s">
        <v>3914</v>
      </c>
      <c r="B1901" s="4" t="s">
        <v>3915</v>
      </c>
      <c r="C1901" s="4" t="s">
        <v>400</v>
      </c>
      <c r="D1901" s="4" t="s">
        <v>1333</v>
      </c>
      <c r="E1901" s="4" t="s">
        <v>3</v>
      </c>
      <c r="F1901" s="4" t="s">
        <v>1334</v>
      </c>
      <c r="G1901" s="4" t="s">
        <v>408</v>
      </c>
      <c r="H1901" s="5">
        <f>ROUND(36500,0)</f>
        <v>36500</v>
      </c>
      <c r="I1901" s="6">
        <f>ROUND(7350,2)</f>
        <v>7350</v>
      </c>
      <c r="J1901" s="6">
        <f>ROUND(6.4008,2)</f>
        <v>6.4</v>
      </c>
      <c r="K1901" s="5">
        <f>ROUND(171717.46,0)</f>
        <v>171717</v>
      </c>
      <c r="L1901" s="7">
        <f>ROUND(0.0000596791453977559,4)</f>
        <v>1E-4</v>
      </c>
    </row>
    <row r="1902" spans="1:12">
      <c r="A1902" s="3" t="s">
        <v>3916</v>
      </c>
      <c r="B1902" s="4" t="s">
        <v>3917</v>
      </c>
      <c r="C1902" s="4" t="s">
        <v>534</v>
      </c>
      <c r="D1902" s="4" t="s">
        <v>489</v>
      </c>
      <c r="E1902" s="4" t="s">
        <v>490</v>
      </c>
      <c r="F1902" s="4" t="s">
        <v>45</v>
      </c>
      <c r="G1902" s="4" t="s">
        <v>408</v>
      </c>
      <c r="H1902" s="5">
        <f>ROUND(1000,0)</f>
        <v>1000</v>
      </c>
      <c r="I1902" s="6">
        <f>ROUND(2042,2)</f>
        <v>2042</v>
      </c>
      <c r="J1902" s="6">
        <f>ROUND(8.407077,2)</f>
        <v>8.41</v>
      </c>
      <c r="K1902" s="5">
        <f>ROUND(171672.51,0)</f>
        <v>171673</v>
      </c>
      <c r="L1902" s="7">
        <f>ROUND(0.0000596635233545133,4)</f>
        <v>1E-4</v>
      </c>
    </row>
    <row r="1903" spans="1:12">
      <c r="A1903" s="3" t="s">
        <v>3918</v>
      </c>
      <c r="B1903" s="4" t="s">
        <v>3919</v>
      </c>
      <c r="C1903" s="4" t="s">
        <v>406</v>
      </c>
      <c r="D1903" s="4" t="s">
        <v>514</v>
      </c>
      <c r="E1903" s="4" t="s">
        <v>515</v>
      </c>
      <c r="F1903" s="4" t="s">
        <v>190</v>
      </c>
      <c r="G1903" s="4" t="s">
        <v>408</v>
      </c>
      <c r="H1903" s="5">
        <f>ROUND(3600,0)</f>
        <v>3600</v>
      </c>
      <c r="I1903" s="6">
        <f>ROUND(6.94,2)</f>
        <v>6.94</v>
      </c>
      <c r="J1903" s="6">
        <f>ROUND(6.86237833,2)</f>
        <v>6.86</v>
      </c>
      <c r="K1903" s="5">
        <f>ROUND(171449.66,0)</f>
        <v>171450</v>
      </c>
      <c r="L1903" s="7">
        <f>ROUND(0.0000595860734693829,4)</f>
        <v>1E-4</v>
      </c>
    </row>
    <row r="1904" spans="1:12">
      <c r="A1904" s="3" t="s">
        <v>3920</v>
      </c>
      <c r="B1904" s="4" t="s">
        <v>3921</v>
      </c>
      <c r="C1904" s="4" t="s">
        <v>415</v>
      </c>
      <c r="D1904" s="4" t="s">
        <v>623</v>
      </c>
      <c r="E1904" s="4" t="s">
        <v>624</v>
      </c>
      <c r="F1904" s="4" t="s">
        <v>18</v>
      </c>
      <c r="G1904" s="4" t="s">
        <v>408</v>
      </c>
      <c r="H1904" s="5">
        <f>ROUND(633,0)</f>
        <v>633</v>
      </c>
      <c r="I1904" s="6">
        <f>ROUND(27.25,2)</f>
        <v>27.25</v>
      </c>
      <c r="J1904" s="6">
        <f>ROUND(9.9055,2)</f>
        <v>9.91</v>
      </c>
      <c r="K1904" s="5">
        <f>ROUND(170862.45,0)</f>
        <v>170862</v>
      </c>
      <c r="L1904" s="7">
        <f>ROUND(0.0000593819929351785,4)</f>
        <v>1E-4</v>
      </c>
    </row>
    <row r="1905" spans="1:12">
      <c r="A1905" s="3" t="s">
        <v>3922</v>
      </c>
      <c r="B1905" s="4" t="s">
        <v>3923</v>
      </c>
      <c r="C1905" s="4" t="s">
        <v>406</v>
      </c>
      <c r="D1905" s="4" t="s">
        <v>456</v>
      </c>
      <c r="E1905" s="4" t="s">
        <v>457</v>
      </c>
      <c r="F1905" s="4" t="s">
        <v>26</v>
      </c>
      <c r="G1905" s="4" t="s">
        <v>408</v>
      </c>
      <c r="H1905" s="5">
        <f>ROUND(15000,0)</f>
        <v>15000</v>
      </c>
      <c r="I1905" s="6">
        <f>ROUND(9.8,2)</f>
        <v>9.8000000000000007</v>
      </c>
      <c r="J1905" s="6">
        <f>ROUND(1.15901246,2)</f>
        <v>1.1599999999999999</v>
      </c>
      <c r="K1905" s="5">
        <f>ROUND(170374.83,0)</f>
        <v>170375</v>
      </c>
      <c r="L1905" s="7">
        <f>ROUND(0.0000592125241759804,4)</f>
        <v>1E-4</v>
      </c>
    </row>
    <row r="1906" spans="1:12">
      <c r="A1906" s="3" t="s">
        <v>3924</v>
      </c>
      <c r="B1906" s="4" t="s">
        <v>3925</v>
      </c>
      <c r="C1906" s="4" t="s">
        <v>389</v>
      </c>
      <c r="D1906" s="4" t="s">
        <v>489</v>
      </c>
      <c r="E1906" s="4" t="s">
        <v>490</v>
      </c>
      <c r="F1906" s="4" t="s">
        <v>45</v>
      </c>
      <c r="G1906" s="4" t="s">
        <v>408</v>
      </c>
      <c r="H1906" s="5">
        <f>ROUND(1000,0)</f>
        <v>1000</v>
      </c>
      <c r="I1906" s="6">
        <f>ROUND(2018,2)</f>
        <v>2018</v>
      </c>
      <c r="J1906" s="6">
        <f>ROUND(8.407077,2)</f>
        <v>8.41</v>
      </c>
      <c r="K1906" s="5">
        <f>ROUND(169654.81,0)</f>
        <v>169655</v>
      </c>
      <c r="L1906" s="7">
        <f>ROUND(0.0000589622864991053,4)</f>
        <v>1E-4</v>
      </c>
    </row>
    <row r="1907" spans="1:12">
      <c r="A1907" s="3" t="s">
        <v>3926</v>
      </c>
      <c r="B1907" s="4" t="s">
        <v>3927</v>
      </c>
      <c r="C1907" s="4" t="s">
        <v>534</v>
      </c>
      <c r="D1907" s="4" t="s">
        <v>407</v>
      </c>
      <c r="E1907" s="4" t="s">
        <v>35</v>
      </c>
      <c r="F1907" s="4" t="s">
        <v>21</v>
      </c>
      <c r="G1907" s="4" t="s">
        <v>408</v>
      </c>
      <c r="H1907" s="5">
        <f>ROUND(391,0)</f>
        <v>391</v>
      </c>
      <c r="I1907" s="6">
        <f>ROUND(47.71,2)</f>
        <v>47.71</v>
      </c>
      <c r="J1907" s="6">
        <f>ROUND(9.08595,2)</f>
        <v>9.09</v>
      </c>
      <c r="K1907" s="5">
        <f>ROUND(169494.85,0)</f>
        <v>169495</v>
      </c>
      <c r="L1907" s="7">
        <f>ROUND(0.0000589066935728075,4)</f>
        <v>1E-4</v>
      </c>
    </row>
    <row r="1908" spans="1:12">
      <c r="A1908" s="3" t="s">
        <v>3928</v>
      </c>
      <c r="B1908" s="4" t="s">
        <v>3929</v>
      </c>
      <c r="C1908" s="4" t="s">
        <v>534</v>
      </c>
      <c r="D1908" s="4" t="s">
        <v>489</v>
      </c>
      <c r="E1908" s="4" t="s">
        <v>490</v>
      </c>
      <c r="F1908" s="4" t="s">
        <v>45</v>
      </c>
      <c r="G1908" s="4" t="s">
        <v>408</v>
      </c>
      <c r="H1908" s="5">
        <f>ROUND(600,0)</f>
        <v>600</v>
      </c>
      <c r="I1908" s="6">
        <f>ROUND(3345,2)</f>
        <v>3345</v>
      </c>
      <c r="J1908" s="6">
        <f>ROUND(8.407077,2)</f>
        <v>8.41</v>
      </c>
      <c r="K1908" s="5">
        <f>ROUND(168730.04,0)</f>
        <v>168730</v>
      </c>
      <c r="L1908" s="7">
        <f>ROUND(0.0000586408894595178,4)</f>
        <v>1E-4</v>
      </c>
    </row>
    <row r="1909" spans="1:12">
      <c r="A1909" s="3" t="s">
        <v>3930</v>
      </c>
      <c r="B1909" s="4" t="s">
        <v>3931</v>
      </c>
      <c r="C1909" s="4" t="s">
        <v>389</v>
      </c>
      <c r="D1909" s="4" t="s">
        <v>486</v>
      </c>
      <c r="E1909" s="4" t="s">
        <v>30</v>
      </c>
      <c r="F1909" s="4" t="s">
        <v>20</v>
      </c>
      <c r="G1909" s="4" t="s">
        <v>408</v>
      </c>
      <c r="H1909" s="5">
        <f>ROUND(9298,0)</f>
        <v>9298</v>
      </c>
      <c r="I1909" s="6">
        <f>ROUND(161.5,2)</f>
        <v>161.5</v>
      </c>
      <c r="J1909" s="6">
        <f>ROUND(11.19645077,2)</f>
        <v>11.2</v>
      </c>
      <c r="K1909" s="5">
        <f>ROUND(168128.93,0)</f>
        <v>168129</v>
      </c>
      <c r="L1909" s="7">
        <f>ROUND(0.0000584319780821305,4)</f>
        <v>1E-4</v>
      </c>
    </row>
    <row r="1910" spans="1:12">
      <c r="A1910" s="3" t="s">
        <v>3932</v>
      </c>
      <c r="B1910" s="4" t="s">
        <v>3933</v>
      </c>
      <c r="C1910" s="4" t="s">
        <v>545</v>
      </c>
      <c r="D1910" s="4" t="s">
        <v>789</v>
      </c>
      <c r="E1910" s="4" t="s">
        <v>790</v>
      </c>
      <c r="F1910" s="4" t="s">
        <v>791</v>
      </c>
      <c r="G1910" s="4" t="s">
        <v>408</v>
      </c>
      <c r="H1910" s="5">
        <f>ROUND(1782,0)</f>
        <v>1782</v>
      </c>
      <c r="I1910" s="6">
        <f>ROUND(730.1,2)</f>
        <v>730.1</v>
      </c>
      <c r="J1910" s="6">
        <f>ROUND(0.12820804,2)</f>
        <v>0.13</v>
      </c>
      <c r="K1910" s="5">
        <f>ROUND(166803.56,0)</f>
        <v>166804</v>
      </c>
      <c r="L1910" s="7">
        <f>ROUND(0.000057971355446926,4)</f>
        <v>1E-4</v>
      </c>
    </row>
    <row r="1911" spans="1:12">
      <c r="A1911" s="3" t="s">
        <v>3934</v>
      </c>
      <c r="B1911" s="4" t="s">
        <v>3935</v>
      </c>
      <c r="C1911" s="4" t="s">
        <v>534</v>
      </c>
      <c r="D1911" s="4" t="s">
        <v>541</v>
      </c>
      <c r="E1911" s="4" t="s">
        <v>542</v>
      </c>
      <c r="F1911" s="4" t="s">
        <v>18</v>
      </c>
      <c r="G1911" s="4" t="s">
        <v>408</v>
      </c>
      <c r="H1911" s="5">
        <f>ROUND(344,0)</f>
        <v>344</v>
      </c>
      <c r="I1911" s="6">
        <f>ROUND(48.25,2)</f>
        <v>48.25</v>
      </c>
      <c r="J1911" s="6">
        <f>ROUND(9.9055,2)</f>
        <v>9.91</v>
      </c>
      <c r="K1911" s="5">
        <f>ROUND(164411.49,0)</f>
        <v>164411</v>
      </c>
      <c r="L1911" s="7">
        <f>ROUND(0.000057140009040267,4)</f>
        <v>1E-4</v>
      </c>
    </row>
    <row r="1912" spans="1:12">
      <c r="A1912" s="3" t="s">
        <v>3936</v>
      </c>
      <c r="B1912" s="4" t="s">
        <v>3937</v>
      </c>
      <c r="C1912" s="4" t="s">
        <v>406</v>
      </c>
      <c r="D1912" s="4" t="s">
        <v>489</v>
      </c>
      <c r="E1912" s="4" t="s">
        <v>490</v>
      </c>
      <c r="F1912" s="4" t="s">
        <v>45</v>
      </c>
      <c r="G1912" s="4" t="s">
        <v>408</v>
      </c>
      <c r="H1912" s="5">
        <f>ROUND(2600,0)</f>
        <v>2600</v>
      </c>
      <c r="I1912" s="6">
        <f>ROUND(752,2)</f>
        <v>752</v>
      </c>
      <c r="J1912" s="6">
        <f>ROUND(8.407077,2)</f>
        <v>8.41</v>
      </c>
      <c r="K1912" s="5">
        <f>ROUND(164375.17,0)</f>
        <v>164375</v>
      </c>
      <c r="L1912" s="7">
        <f>ROUND(0.0000571273862903099,4)</f>
        <v>1E-4</v>
      </c>
    </row>
    <row r="1913" spans="1:12">
      <c r="A1913" s="3" t="s">
        <v>3938</v>
      </c>
      <c r="B1913" s="4" t="s">
        <v>3939</v>
      </c>
      <c r="C1913" s="4" t="s">
        <v>400</v>
      </c>
      <c r="D1913" s="4" t="s">
        <v>655</v>
      </c>
      <c r="E1913" s="4" t="s">
        <v>656</v>
      </c>
      <c r="F1913" s="4" t="s">
        <v>26</v>
      </c>
      <c r="G1913" s="4" t="s">
        <v>408</v>
      </c>
      <c r="H1913" s="5">
        <f>ROUND(17200,0)</f>
        <v>17200</v>
      </c>
      <c r="I1913" s="6">
        <f>ROUND(8.22,2)</f>
        <v>8.2200000000000006</v>
      </c>
      <c r="J1913" s="6">
        <f>ROUND(1.15901246,2)</f>
        <v>1.1599999999999999</v>
      </c>
      <c r="K1913" s="5">
        <f>ROUND(163865.82,0)</f>
        <v>163866</v>
      </c>
      <c r="L1913" s="7">
        <f>ROUND(0.0000569503654287834,4)</f>
        <v>1E-4</v>
      </c>
    </row>
    <row r="1914" spans="1:12">
      <c r="A1914" s="3" t="s">
        <v>3940</v>
      </c>
      <c r="B1914" s="4" t="s">
        <v>3941</v>
      </c>
      <c r="C1914" s="4" t="s">
        <v>493</v>
      </c>
      <c r="D1914" s="4" t="s">
        <v>407</v>
      </c>
      <c r="E1914" s="4" t="s">
        <v>35</v>
      </c>
      <c r="F1914" s="4" t="s">
        <v>21</v>
      </c>
      <c r="G1914" s="4" t="s">
        <v>408</v>
      </c>
      <c r="H1914" s="5">
        <f>ROUND(1801,0)</f>
        <v>1801</v>
      </c>
      <c r="I1914" s="6">
        <f>ROUND(10,2)</f>
        <v>10</v>
      </c>
      <c r="J1914" s="6">
        <f>ROUND(9.08595,2)</f>
        <v>9.09</v>
      </c>
      <c r="K1914" s="5">
        <f>ROUND(163637.96,0)</f>
        <v>163638</v>
      </c>
      <c r="L1914" s="7">
        <f>ROUND(0.0000568711743548511,4)</f>
        <v>1E-4</v>
      </c>
    </row>
    <row r="1915" spans="1:12">
      <c r="A1915" s="3" t="s">
        <v>3942</v>
      </c>
      <c r="B1915" s="4" t="s">
        <v>3943</v>
      </c>
      <c r="C1915" s="4" t="s">
        <v>566</v>
      </c>
      <c r="D1915" s="4" t="s">
        <v>717</v>
      </c>
      <c r="E1915" s="4" t="s">
        <v>718</v>
      </c>
      <c r="F1915" s="4" t="s">
        <v>175</v>
      </c>
      <c r="G1915" s="4" t="s">
        <v>408</v>
      </c>
      <c r="H1915" s="5">
        <f>ROUND(34805,0)</f>
        <v>34805</v>
      </c>
      <c r="I1915" s="6">
        <f>ROUND(783,2)</f>
        <v>783</v>
      </c>
      <c r="J1915" s="6">
        <f>ROUND(0.59923836,2)</f>
        <v>0.6</v>
      </c>
      <c r="K1915" s="5">
        <f>ROUND(163306.33,0)</f>
        <v>163306</v>
      </c>
      <c r="L1915" s="7">
        <f>ROUND(0.0000567559187775309,4)</f>
        <v>1E-4</v>
      </c>
    </row>
    <row r="1916" spans="1:12">
      <c r="A1916" s="3" t="s">
        <v>3944</v>
      </c>
      <c r="B1916" s="4" t="s">
        <v>3945</v>
      </c>
      <c r="C1916" s="4" t="s">
        <v>422</v>
      </c>
      <c r="D1916" s="4" t="s">
        <v>489</v>
      </c>
      <c r="E1916" s="4" t="s">
        <v>490</v>
      </c>
      <c r="F1916" s="4" t="s">
        <v>45</v>
      </c>
      <c r="G1916" s="4" t="s">
        <v>408</v>
      </c>
      <c r="H1916" s="5">
        <f>ROUND(800,0)</f>
        <v>800</v>
      </c>
      <c r="I1916" s="6">
        <f>ROUND(2419,2)</f>
        <v>2419</v>
      </c>
      <c r="J1916" s="6">
        <f>ROUND(8.407077,2)</f>
        <v>8.41</v>
      </c>
      <c r="K1916" s="5">
        <f>ROUND(162693.75,0)</f>
        <v>162694</v>
      </c>
      <c r="L1916" s="7">
        <f>ROUND(0.000056543021085661,4)</f>
        <v>1E-4</v>
      </c>
    </row>
    <row r="1917" spans="1:12">
      <c r="A1917" s="3" t="s">
        <v>3946</v>
      </c>
      <c r="B1917" s="4" t="s">
        <v>3947</v>
      </c>
      <c r="C1917" s="4" t="s">
        <v>445</v>
      </c>
      <c r="D1917" s="4" t="s">
        <v>552</v>
      </c>
      <c r="E1917" s="4" t="s">
        <v>553</v>
      </c>
      <c r="F1917" s="4" t="s">
        <v>26</v>
      </c>
      <c r="G1917" s="4" t="s">
        <v>408</v>
      </c>
      <c r="H1917" s="5">
        <f>ROUND(19000,0)</f>
        <v>19000</v>
      </c>
      <c r="I1917" s="6">
        <f>ROUND(7.35,2)</f>
        <v>7.35</v>
      </c>
      <c r="J1917" s="6">
        <f>ROUND(1.15901246,2)</f>
        <v>1.1599999999999999</v>
      </c>
      <c r="K1917" s="5">
        <f>ROUND(161856.09,0)</f>
        <v>161856</v>
      </c>
      <c r="L1917" s="7">
        <f>ROUND(0.0000562518984884954,4)</f>
        <v>1E-4</v>
      </c>
    </row>
    <row r="1918" spans="1:12">
      <c r="A1918" s="3" t="s">
        <v>3948</v>
      </c>
      <c r="B1918" s="4" t="s">
        <v>3949</v>
      </c>
      <c r="C1918" s="4" t="s">
        <v>389</v>
      </c>
      <c r="D1918" s="4" t="s">
        <v>489</v>
      </c>
      <c r="E1918" s="4" t="s">
        <v>490</v>
      </c>
      <c r="F1918" s="4" t="s">
        <v>45</v>
      </c>
      <c r="G1918" s="4" t="s">
        <v>408</v>
      </c>
      <c r="H1918" s="5">
        <f>ROUND(4100,0)</f>
        <v>4100</v>
      </c>
      <c r="I1918" s="6">
        <f>ROUND(469,2)</f>
        <v>469</v>
      </c>
      <c r="J1918" s="6">
        <f>ROUND(8.407077,2)</f>
        <v>8.41</v>
      </c>
      <c r="K1918" s="5">
        <f>ROUND(161659.68,0)</f>
        <v>161660</v>
      </c>
      <c r="L1918" s="7">
        <f>ROUND(0.0000561836376316927,4)</f>
        <v>1E-4</v>
      </c>
    </row>
    <row r="1919" spans="1:12">
      <c r="A1919" s="3" t="s">
        <v>3950</v>
      </c>
      <c r="B1919" s="4" t="s">
        <v>3951</v>
      </c>
      <c r="C1919" s="4" t="s">
        <v>534</v>
      </c>
      <c r="D1919" s="4" t="s">
        <v>655</v>
      </c>
      <c r="E1919" s="4" t="s">
        <v>656</v>
      </c>
      <c r="F1919" s="4" t="s">
        <v>26</v>
      </c>
      <c r="G1919" s="4" t="s">
        <v>408</v>
      </c>
      <c r="H1919" s="5">
        <f>ROUND(14000,0)</f>
        <v>14000</v>
      </c>
      <c r="I1919" s="6">
        <f>ROUND(9.96,2)</f>
        <v>9.9600000000000009</v>
      </c>
      <c r="J1919" s="6">
        <f>ROUND(1.15901246,2)</f>
        <v>1.1599999999999999</v>
      </c>
      <c r="K1919" s="5">
        <f>ROUND(161612.7,0)</f>
        <v>161613</v>
      </c>
      <c r="L1919" s="7">
        <f>ROUND(0.0000561673100768198,4)</f>
        <v>1E-4</v>
      </c>
    </row>
    <row r="1920" spans="1:12">
      <c r="A1920" s="3" t="s">
        <v>3952</v>
      </c>
      <c r="B1920" s="4" t="s">
        <v>3953</v>
      </c>
      <c r="C1920" s="4" t="s">
        <v>422</v>
      </c>
      <c r="D1920" s="4" t="s">
        <v>717</v>
      </c>
      <c r="E1920" s="4" t="s">
        <v>718</v>
      </c>
      <c r="F1920" s="4" t="s">
        <v>175</v>
      </c>
      <c r="G1920" s="4" t="s">
        <v>408</v>
      </c>
      <c r="H1920" s="5">
        <f>ROUND(1269,0)</f>
        <v>1269</v>
      </c>
      <c r="I1920" s="6">
        <f>ROUND(21056,2)</f>
        <v>21056</v>
      </c>
      <c r="J1920" s="6">
        <f>ROUND(0.59923836,2)</f>
        <v>0.6</v>
      </c>
      <c r="K1920" s="5">
        <f>ROUND(160116.87,0)</f>
        <v>160117</v>
      </c>
      <c r="L1920" s="7">
        <f>ROUND(0.0000556474453172297,4)</f>
        <v>1E-4</v>
      </c>
    </row>
    <row r="1921" spans="1:12">
      <c r="A1921" s="3" t="s">
        <v>3954</v>
      </c>
      <c r="B1921" s="4" t="s">
        <v>3955</v>
      </c>
      <c r="C1921" s="4" t="s">
        <v>545</v>
      </c>
      <c r="D1921" s="4" t="s">
        <v>395</v>
      </c>
      <c r="E1921" s="4" t="s">
        <v>396</v>
      </c>
      <c r="F1921" s="4" t="s">
        <v>397</v>
      </c>
      <c r="G1921" s="4" t="s">
        <v>408</v>
      </c>
      <c r="H1921" s="5">
        <f>ROUND(4769,0)</f>
        <v>4769</v>
      </c>
      <c r="I1921" s="6">
        <f>ROUND(15.39,2)</f>
        <v>15.39</v>
      </c>
      <c r="J1921" s="6">
        <f>ROUND(2.18129969,2)</f>
        <v>2.1800000000000002</v>
      </c>
      <c r="K1921" s="5">
        <f>ROUND(160096.29,0)</f>
        <v>160096</v>
      </c>
      <c r="L1921" s="7">
        <f>ROUND(0.0000556402928889776,4)</f>
        <v>1E-4</v>
      </c>
    </row>
    <row r="1922" spans="1:12">
      <c r="A1922" s="3" t="s">
        <v>3956</v>
      </c>
      <c r="B1922" s="4" t="s">
        <v>3957</v>
      </c>
      <c r="C1922" s="4" t="s">
        <v>545</v>
      </c>
      <c r="D1922" s="4" t="s">
        <v>489</v>
      </c>
      <c r="E1922" s="4" t="s">
        <v>490</v>
      </c>
      <c r="F1922" s="4" t="s">
        <v>45</v>
      </c>
      <c r="G1922" s="4" t="s">
        <v>408</v>
      </c>
      <c r="H1922" s="5">
        <f>ROUND(3300,0)</f>
        <v>3300</v>
      </c>
      <c r="I1922" s="6">
        <f>ROUND(576,2)</f>
        <v>576</v>
      </c>
      <c r="J1922" s="6">
        <f>ROUND(8.407077,2)</f>
        <v>8.41</v>
      </c>
      <c r="K1922" s="5">
        <f>ROUND(159801.72,0)</f>
        <v>159802</v>
      </c>
      <c r="L1922" s="7">
        <f>ROUND(0.000055537917243194,4)</f>
        <v>1E-4</v>
      </c>
    </row>
    <row r="1923" spans="1:12">
      <c r="A1923" s="3" t="s">
        <v>3958</v>
      </c>
      <c r="B1923" s="4" t="s">
        <v>3959</v>
      </c>
      <c r="C1923" s="4" t="s">
        <v>389</v>
      </c>
      <c r="D1923" s="4" t="s">
        <v>407</v>
      </c>
      <c r="E1923" s="4" t="s">
        <v>35</v>
      </c>
      <c r="F1923" s="4" t="s">
        <v>21</v>
      </c>
      <c r="G1923" s="4" t="s">
        <v>408</v>
      </c>
      <c r="H1923" s="5">
        <f>ROUND(312,0)</f>
        <v>312</v>
      </c>
      <c r="I1923" s="6">
        <f>ROUND(56.21,2)</f>
        <v>56.21</v>
      </c>
      <c r="J1923" s="6">
        <f>ROUND(9.08595,2)</f>
        <v>9.09</v>
      </c>
      <c r="K1923" s="5">
        <f>ROUND(159345.03,0)</f>
        <v>159345</v>
      </c>
      <c r="L1923" s="7">
        <f>ROUND(0.0000553791979789346,4)</f>
        <v>1E-4</v>
      </c>
    </row>
    <row r="1924" spans="1:12">
      <c r="A1924" s="3" t="s">
        <v>3960</v>
      </c>
      <c r="B1924" s="4" t="s">
        <v>3961</v>
      </c>
      <c r="C1924" s="4" t="s">
        <v>445</v>
      </c>
      <c r="D1924" s="4" t="s">
        <v>655</v>
      </c>
      <c r="E1924" s="4" t="s">
        <v>656</v>
      </c>
      <c r="F1924" s="4" t="s">
        <v>26</v>
      </c>
      <c r="G1924" s="4" t="s">
        <v>408</v>
      </c>
      <c r="H1924" s="5">
        <f>ROUND(5600,0)</f>
        <v>5600</v>
      </c>
      <c r="I1924" s="6">
        <f>ROUND(24.55,2)</f>
        <v>24.55</v>
      </c>
      <c r="J1924" s="6">
        <f>ROUND(1.15901246,2)</f>
        <v>1.1599999999999999</v>
      </c>
      <c r="K1924" s="5">
        <f>ROUND(159341.03,0)</f>
        <v>159341</v>
      </c>
      <c r="L1924" s="7">
        <f>ROUND(0.0000553778078082344,4)</f>
        <v>1E-4</v>
      </c>
    </row>
    <row r="1925" spans="1:12">
      <c r="A1925" s="3" t="s">
        <v>3962</v>
      </c>
      <c r="B1925" s="4" t="s">
        <v>3963</v>
      </c>
      <c r="C1925" s="4" t="s">
        <v>400</v>
      </c>
      <c r="D1925" s="4" t="s">
        <v>3241</v>
      </c>
      <c r="E1925" s="4" t="s">
        <v>3242</v>
      </c>
      <c r="F1925" s="4" t="s">
        <v>18</v>
      </c>
      <c r="G1925" s="4" t="s">
        <v>408</v>
      </c>
      <c r="H1925" s="5">
        <f>ROUND(5758,0)</f>
        <v>5758</v>
      </c>
      <c r="I1925" s="6">
        <f>ROUND(2.793,2)</f>
        <v>2.79</v>
      </c>
      <c r="J1925" s="6">
        <f>ROUND(9.9055,2)</f>
        <v>9.91</v>
      </c>
      <c r="K1925" s="5">
        <f>ROUND(159301.14,0)</f>
        <v>159301</v>
      </c>
      <c r="L1925" s="7">
        <f>ROUND(0.0000553639443309275,4)</f>
        <v>1E-4</v>
      </c>
    </row>
    <row r="1926" spans="1:12">
      <c r="A1926" s="3" t="s">
        <v>3964</v>
      </c>
      <c r="B1926" s="4" t="s">
        <v>3965</v>
      </c>
      <c r="C1926" s="4" t="s">
        <v>534</v>
      </c>
      <c r="D1926" s="4" t="s">
        <v>655</v>
      </c>
      <c r="E1926" s="4" t="s">
        <v>656</v>
      </c>
      <c r="F1926" s="4" t="s">
        <v>26</v>
      </c>
      <c r="G1926" s="4" t="s">
        <v>408</v>
      </c>
      <c r="H1926" s="5">
        <f>ROUND(16000,0)</f>
        <v>16000</v>
      </c>
      <c r="I1926" s="6">
        <f>ROUND(8.57,2)</f>
        <v>8.57</v>
      </c>
      <c r="J1926" s="6">
        <f>ROUND(1.15901246,2)</f>
        <v>1.1599999999999999</v>
      </c>
      <c r="K1926" s="5">
        <f>ROUND(158923.79,0)</f>
        <v>158924</v>
      </c>
      <c r="L1926" s="7">
        <f>ROUND(0.0000552327991025049,4)</f>
        <v>1E-4</v>
      </c>
    </row>
    <row r="1927" spans="1:12">
      <c r="A1927" s="3" t="s">
        <v>3966</v>
      </c>
      <c r="B1927" s="4" t="s">
        <v>3967</v>
      </c>
      <c r="C1927" s="4" t="s">
        <v>389</v>
      </c>
      <c r="D1927" s="4" t="s">
        <v>489</v>
      </c>
      <c r="E1927" s="4" t="s">
        <v>490</v>
      </c>
      <c r="F1927" s="4" t="s">
        <v>45</v>
      </c>
      <c r="G1927" s="4" t="s">
        <v>408</v>
      </c>
      <c r="H1927" s="5">
        <f>ROUND(1500,0)</f>
        <v>1500</v>
      </c>
      <c r="I1927" s="6">
        <f>ROUND(1259,2)</f>
        <v>1259</v>
      </c>
      <c r="J1927" s="6">
        <f>ROUND(8.407077,2)</f>
        <v>8.41</v>
      </c>
      <c r="K1927" s="5">
        <f>ROUND(158767.65,0)</f>
        <v>158768</v>
      </c>
      <c r="L1927" s="7">
        <f>ROUND(0.0000551785337892257,4)</f>
        <v>1E-4</v>
      </c>
    </row>
    <row r="1928" spans="1:12">
      <c r="A1928" s="3" t="s">
        <v>3968</v>
      </c>
      <c r="B1928" s="4" t="s">
        <v>3969</v>
      </c>
      <c r="C1928" s="4" t="s">
        <v>545</v>
      </c>
      <c r="D1928" s="4" t="s">
        <v>1822</v>
      </c>
      <c r="E1928" s="4" t="s">
        <v>1823</v>
      </c>
      <c r="F1928" s="4" t="s">
        <v>1824</v>
      </c>
      <c r="G1928" s="4" t="s">
        <v>408</v>
      </c>
      <c r="H1928" s="5">
        <f>ROUND(3561,0)</f>
        <v>3561</v>
      </c>
      <c r="I1928" s="6">
        <f>ROUND(17060,2)</f>
        <v>17060</v>
      </c>
      <c r="J1928" s="6">
        <f>ROUND(0.00261206,2)</f>
        <v>0</v>
      </c>
      <c r="K1928" s="5">
        <f>ROUND(158684.37,0)</f>
        <v>158684</v>
      </c>
      <c r="L1928" s="7">
        <f>ROUND(0.0000551495904352492,4)</f>
        <v>1E-4</v>
      </c>
    </row>
    <row r="1929" spans="1:12">
      <c r="A1929" s="3" t="s">
        <v>3970</v>
      </c>
      <c r="B1929" s="4" t="s">
        <v>3971</v>
      </c>
      <c r="C1929" s="4" t="s">
        <v>389</v>
      </c>
      <c r="D1929" s="4" t="s">
        <v>456</v>
      </c>
      <c r="E1929" s="4" t="s">
        <v>457</v>
      </c>
      <c r="F1929" s="4" t="s">
        <v>26</v>
      </c>
      <c r="G1929" s="4" t="s">
        <v>408</v>
      </c>
      <c r="H1929" s="5">
        <f>ROUND(11200,0)</f>
        <v>11200</v>
      </c>
      <c r="I1929" s="6">
        <f>ROUND(12.22,2)</f>
        <v>12.22</v>
      </c>
      <c r="J1929" s="6">
        <f>ROUND(1.15901246,2)</f>
        <v>1.1599999999999999</v>
      </c>
      <c r="K1929" s="5">
        <f>ROUND(158627.08,0)</f>
        <v>158627</v>
      </c>
      <c r="L1929" s="7">
        <f>ROUND(0.0000551296797153968,4)</f>
        <v>1E-4</v>
      </c>
    </row>
    <row r="1930" spans="1:12">
      <c r="A1930" s="3" t="s">
        <v>3972</v>
      </c>
      <c r="B1930" s="4" t="s">
        <v>3973</v>
      </c>
      <c r="C1930" s="4" t="s">
        <v>566</v>
      </c>
      <c r="D1930" s="4" t="s">
        <v>552</v>
      </c>
      <c r="E1930" s="4" t="s">
        <v>553</v>
      </c>
      <c r="F1930" s="4" t="s">
        <v>26</v>
      </c>
      <c r="G1930" s="4" t="s">
        <v>408</v>
      </c>
      <c r="H1930" s="5">
        <f>ROUND(7000,0)</f>
        <v>7000</v>
      </c>
      <c r="I1930" s="6">
        <f>ROUND(19.52,2)</f>
        <v>19.52</v>
      </c>
      <c r="J1930" s="6">
        <f>ROUND(1.15901246,2)</f>
        <v>1.1599999999999999</v>
      </c>
      <c r="K1930" s="5">
        <f>ROUND(158367.46,0)</f>
        <v>158367</v>
      </c>
      <c r="L1930" s="7">
        <f>ROUND(0.0000550394506861055,4)</f>
        <v>1E-4</v>
      </c>
    </row>
    <row r="1931" spans="1:12">
      <c r="A1931" s="3" t="s">
        <v>3974</v>
      </c>
      <c r="B1931" s="4" t="s">
        <v>3975</v>
      </c>
      <c r="C1931" s="4" t="s">
        <v>534</v>
      </c>
      <c r="D1931" s="4" t="s">
        <v>489</v>
      </c>
      <c r="E1931" s="4" t="s">
        <v>490</v>
      </c>
      <c r="F1931" s="4" t="s">
        <v>45</v>
      </c>
      <c r="G1931" s="4" t="s">
        <v>408</v>
      </c>
      <c r="H1931" s="5">
        <f>ROUND(800,0)</f>
        <v>800</v>
      </c>
      <c r="I1931" s="6">
        <f>ROUND(2348,2)</f>
        <v>2348</v>
      </c>
      <c r="J1931" s="6">
        <f>ROUND(8.407077,2)</f>
        <v>8.41</v>
      </c>
      <c r="K1931" s="5">
        <f>ROUND(157918.53,0)</f>
        <v>157919</v>
      </c>
      <c r="L1931" s="7">
        <f>ROUND(0.0000548834283530043,4)</f>
        <v>1E-4</v>
      </c>
    </row>
    <row r="1932" spans="1:12">
      <c r="A1932" s="3" t="s">
        <v>3976</v>
      </c>
      <c r="B1932" s="4" t="s">
        <v>3977</v>
      </c>
      <c r="C1932" s="4" t="s">
        <v>445</v>
      </c>
      <c r="D1932" s="4" t="s">
        <v>569</v>
      </c>
      <c r="E1932" s="4" t="s">
        <v>570</v>
      </c>
      <c r="F1932" s="4" t="s">
        <v>19</v>
      </c>
      <c r="G1932" s="4" t="s">
        <v>408</v>
      </c>
      <c r="H1932" s="5">
        <f>ROUND(523,0)</f>
        <v>523</v>
      </c>
      <c r="I1932" s="6">
        <f>ROUND(227.2,2)</f>
        <v>227.2</v>
      </c>
      <c r="J1932" s="6">
        <f>ROUND(1.3267035,2)</f>
        <v>1.33</v>
      </c>
      <c r="K1932" s="5">
        <f>ROUND(157646.34,0)</f>
        <v>157646</v>
      </c>
      <c r="L1932" s="7">
        <f>ROUND(0.0000547888307122878,4)</f>
        <v>1E-4</v>
      </c>
    </row>
    <row r="1933" spans="1:12">
      <c r="A1933" s="3" t="s">
        <v>3978</v>
      </c>
      <c r="B1933" s="4" t="s">
        <v>3979</v>
      </c>
      <c r="C1933" s="4" t="s">
        <v>534</v>
      </c>
      <c r="D1933" s="4" t="s">
        <v>520</v>
      </c>
      <c r="E1933" s="4" t="s">
        <v>521</v>
      </c>
      <c r="F1933" s="4" t="s">
        <v>18</v>
      </c>
      <c r="G1933" s="4" t="s">
        <v>408</v>
      </c>
      <c r="H1933" s="5">
        <f>ROUND(1618,0)</f>
        <v>1618</v>
      </c>
      <c r="I1933" s="6">
        <f>ROUND(9.818,2)</f>
        <v>9.82</v>
      </c>
      <c r="J1933" s="6">
        <f>ROUND(9.9055,2)</f>
        <v>9.91</v>
      </c>
      <c r="K1933" s="5">
        <f>ROUND(157354.02,0)</f>
        <v>157354</v>
      </c>
      <c r="L1933" s="7">
        <f>ROUND(0.0000546872370375231,4)</f>
        <v>1E-4</v>
      </c>
    </row>
    <row r="1934" spans="1:12">
      <c r="A1934" s="3" t="s">
        <v>3980</v>
      </c>
      <c r="B1934" s="4" t="s">
        <v>3981</v>
      </c>
      <c r="C1934" s="4" t="s">
        <v>415</v>
      </c>
      <c r="D1934" s="4" t="s">
        <v>407</v>
      </c>
      <c r="E1934" s="4" t="s">
        <v>35</v>
      </c>
      <c r="F1934" s="4" t="s">
        <v>21</v>
      </c>
      <c r="G1934" s="4" t="s">
        <v>408</v>
      </c>
      <c r="H1934" s="5">
        <f>ROUND(2800,0)</f>
        <v>2800</v>
      </c>
      <c r="I1934" s="6">
        <f>ROUND(6.17,2)</f>
        <v>6.17</v>
      </c>
      <c r="J1934" s="6">
        <f>ROUND(9.08595,2)</f>
        <v>9.09</v>
      </c>
      <c r="K1934" s="5">
        <f>ROUND(156968.87,0)</f>
        <v>156969</v>
      </c>
      <c r="L1934" s="7">
        <f>ROUND(0.0000545533809762353,4)</f>
        <v>1E-4</v>
      </c>
    </row>
    <row r="1935" spans="1:12">
      <c r="A1935" s="3" t="s">
        <v>3982</v>
      </c>
      <c r="B1935" s="4" t="s">
        <v>3983</v>
      </c>
      <c r="C1935" s="4" t="s">
        <v>415</v>
      </c>
      <c r="D1935" s="4" t="s">
        <v>739</v>
      </c>
      <c r="E1935" s="4" t="s">
        <v>740</v>
      </c>
      <c r="F1935" s="4" t="s">
        <v>741</v>
      </c>
      <c r="G1935" s="4" t="s">
        <v>408</v>
      </c>
      <c r="H1935" s="5">
        <f>ROUND(218,0)</f>
        <v>218</v>
      </c>
      <c r="I1935" s="6">
        <f>ROUND(94500,2)</f>
        <v>94500</v>
      </c>
      <c r="J1935" s="6">
        <f>ROUND(0.00759599,2)</f>
        <v>0.01</v>
      </c>
      <c r="K1935" s="5">
        <f>ROUND(156484.99,0)</f>
        <v>156485</v>
      </c>
      <c r="L1935" s="7">
        <f>ROUND(0.0000543852120266418,4)</f>
        <v>1E-4</v>
      </c>
    </row>
    <row r="1936" spans="1:12">
      <c r="A1936" s="3" t="s">
        <v>3984</v>
      </c>
      <c r="B1936" s="4" t="s">
        <v>3985</v>
      </c>
      <c r="C1936" s="4" t="s">
        <v>534</v>
      </c>
      <c r="D1936" s="4" t="s">
        <v>541</v>
      </c>
      <c r="E1936" s="4" t="s">
        <v>542</v>
      </c>
      <c r="F1936" s="4" t="s">
        <v>18</v>
      </c>
      <c r="G1936" s="4" t="s">
        <v>408</v>
      </c>
      <c r="H1936" s="5">
        <f>ROUND(151,0)</f>
        <v>151</v>
      </c>
      <c r="I1936" s="6">
        <f>ROUND(104.6,2)</f>
        <v>104.6</v>
      </c>
      <c r="J1936" s="6">
        <f>ROUND(9.9055,2)</f>
        <v>9.91</v>
      </c>
      <c r="K1936" s="5">
        <f>ROUND(156453.41,0)</f>
        <v>156453</v>
      </c>
      <c r="L1936" s="7">
        <f>ROUND(0.0000543742366289643,4)</f>
        <v>1E-4</v>
      </c>
    </row>
    <row r="1937" spans="1:12">
      <c r="A1937" s="3" t="s">
        <v>3986</v>
      </c>
      <c r="B1937" s="4" t="s">
        <v>3987</v>
      </c>
      <c r="C1937" s="4" t="s">
        <v>545</v>
      </c>
      <c r="D1937" s="4" t="s">
        <v>496</v>
      </c>
      <c r="E1937" s="4" t="s">
        <v>497</v>
      </c>
      <c r="F1937" s="4" t="s">
        <v>18</v>
      </c>
      <c r="G1937" s="4" t="s">
        <v>408</v>
      </c>
      <c r="H1937" s="5">
        <f>ROUND(578,0)</f>
        <v>578</v>
      </c>
      <c r="I1937" s="6">
        <f>ROUND(27.3,2)</f>
        <v>27.3</v>
      </c>
      <c r="J1937" s="6">
        <f>ROUND(9.9055,2)</f>
        <v>9.91</v>
      </c>
      <c r="K1937" s="5">
        <f>ROUND(156302.85,0)</f>
        <v>156303</v>
      </c>
      <c r="L1937" s="7">
        <f>ROUND(0.0000543219106038118,4)</f>
        <v>1E-4</v>
      </c>
    </row>
    <row r="1938" spans="1:12">
      <c r="A1938" s="3" t="s">
        <v>3988</v>
      </c>
      <c r="B1938" s="4" t="s">
        <v>3989</v>
      </c>
      <c r="C1938" s="4" t="s">
        <v>545</v>
      </c>
      <c r="D1938" s="4" t="s">
        <v>514</v>
      </c>
      <c r="E1938" s="4" t="s">
        <v>515</v>
      </c>
      <c r="F1938" s="4" t="s">
        <v>190</v>
      </c>
      <c r="G1938" s="4" t="s">
        <v>408</v>
      </c>
      <c r="H1938" s="5">
        <f>ROUND(5400,0)</f>
        <v>5400</v>
      </c>
      <c r="I1938" s="6">
        <f>ROUND(4.2,2)</f>
        <v>4.2</v>
      </c>
      <c r="J1938" s="6">
        <f>ROUND(6.86237833,2)</f>
        <v>6.86</v>
      </c>
      <c r="K1938" s="5">
        <f>ROUND(155638.74,0)</f>
        <v>155639</v>
      </c>
      <c r="L1938" s="7">
        <f>ROUND(0.0000540911040378976,4)</f>
        <v>1E-4</v>
      </c>
    </row>
    <row r="1939" spans="1:12">
      <c r="A1939" s="3" t="s">
        <v>3990</v>
      </c>
      <c r="B1939" s="4" t="s">
        <v>3991</v>
      </c>
      <c r="C1939" s="4" t="s">
        <v>400</v>
      </c>
      <c r="D1939" s="4" t="s">
        <v>717</v>
      </c>
      <c r="E1939" s="4" t="s">
        <v>718</v>
      </c>
      <c r="F1939" s="4" t="s">
        <v>175</v>
      </c>
      <c r="G1939" s="4" t="s">
        <v>408</v>
      </c>
      <c r="H1939" s="5">
        <f>ROUND(3404,0)</f>
        <v>3404</v>
      </c>
      <c r="I1939" s="6">
        <f>ROUND(7510,2)</f>
        <v>7510</v>
      </c>
      <c r="J1939" s="6">
        <f>ROUND(0.59923836,2)</f>
        <v>0.6</v>
      </c>
      <c r="K1939" s="5">
        <f>ROUND(153189.53,0)</f>
        <v>153190</v>
      </c>
      <c r="L1939" s="7">
        <f>ROUND(0.0000532398990427874,4)</f>
        <v>1E-4</v>
      </c>
    </row>
    <row r="1940" spans="1:12">
      <c r="A1940" s="3" t="s">
        <v>3992</v>
      </c>
      <c r="B1940" s="4" t="s">
        <v>3993</v>
      </c>
      <c r="C1940" s="4" t="s">
        <v>400</v>
      </c>
      <c r="D1940" s="4" t="s">
        <v>486</v>
      </c>
      <c r="E1940" s="4" t="s">
        <v>30</v>
      </c>
      <c r="F1940" s="4" t="s">
        <v>20</v>
      </c>
      <c r="G1940" s="4" t="s">
        <v>408</v>
      </c>
      <c r="H1940" s="5">
        <f>ROUND(9975,0)</f>
        <v>9975</v>
      </c>
      <c r="I1940" s="6">
        <f>ROUND(136.35,2)</f>
        <v>136.35</v>
      </c>
      <c r="J1940" s="6">
        <f>ROUND(11.19645077,2)</f>
        <v>11.2</v>
      </c>
      <c r="K1940" s="5">
        <f>ROUND(152281.92,0)</f>
        <v>152282</v>
      </c>
      <c r="L1940" s="7">
        <f>ROUND(0.0000529244658355035,4)</f>
        <v>1E-4</v>
      </c>
    </row>
    <row r="1941" spans="1:12">
      <c r="A1941" s="3" t="s">
        <v>3994</v>
      </c>
      <c r="B1941" s="4" t="s">
        <v>3995</v>
      </c>
      <c r="C1941" s="4" t="s">
        <v>415</v>
      </c>
      <c r="D1941" s="4" t="s">
        <v>541</v>
      </c>
      <c r="E1941" s="4" t="s">
        <v>542</v>
      </c>
      <c r="F1941" s="4" t="s">
        <v>18</v>
      </c>
      <c r="G1941" s="4" t="s">
        <v>408</v>
      </c>
      <c r="H1941" s="5">
        <f>ROUND(6002,0)</f>
        <v>6002</v>
      </c>
      <c r="I1941" s="6">
        <f>ROUND(2.558,2)</f>
        <v>2.56</v>
      </c>
      <c r="J1941" s="6">
        <f>ROUND(9.9055,2)</f>
        <v>9.91</v>
      </c>
      <c r="K1941" s="5">
        <f>ROUND(152080.33,0)</f>
        <v>152080</v>
      </c>
      <c r="L1941" s="7">
        <f>ROUND(0.0000528544047076441,4)</f>
        <v>1E-4</v>
      </c>
    </row>
    <row r="1942" spans="1:12">
      <c r="A1942" s="3" t="s">
        <v>3996</v>
      </c>
      <c r="B1942" s="4" t="s">
        <v>3997</v>
      </c>
      <c r="C1942" s="4" t="s">
        <v>400</v>
      </c>
      <c r="D1942" s="4" t="s">
        <v>407</v>
      </c>
      <c r="E1942" s="4" t="s">
        <v>35</v>
      </c>
      <c r="F1942" s="4" t="s">
        <v>21</v>
      </c>
      <c r="G1942" s="4" t="s">
        <v>408</v>
      </c>
      <c r="H1942" s="5">
        <f>ROUND(200,0)</f>
        <v>200</v>
      </c>
      <c r="I1942" s="6">
        <f>ROUND(83.35,2)</f>
        <v>83.35</v>
      </c>
      <c r="J1942" s="6">
        <f>ROUND(9.08595,2)</f>
        <v>9.09</v>
      </c>
      <c r="K1942" s="5">
        <f>ROUND(151462.79,0)</f>
        <v>151463</v>
      </c>
      <c r="L1942" s="7">
        <f>ROUND(0.0000526397832041061,4)</f>
        <v>1E-4</v>
      </c>
    </row>
    <row r="1943" spans="1:12">
      <c r="A1943" s="3" t="s">
        <v>3998</v>
      </c>
      <c r="B1943" s="4" t="s">
        <v>3999</v>
      </c>
      <c r="C1943" s="4" t="s">
        <v>406</v>
      </c>
      <c r="D1943" s="4" t="s">
        <v>520</v>
      </c>
      <c r="E1943" s="4" t="s">
        <v>521</v>
      </c>
      <c r="F1943" s="4" t="s">
        <v>18</v>
      </c>
      <c r="G1943" s="4" t="s">
        <v>408</v>
      </c>
      <c r="H1943" s="5">
        <f>ROUND(264,0)</f>
        <v>264</v>
      </c>
      <c r="I1943" s="6">
        <f>ROUND(57.9,2)</f>
        <v>57.9</v>
      </c>
      <c r="J1943" s="6">
        <f>ROUND(9.9055,2)</f>
        <v>9.91</v>
      </c>
      <c r="K1943" s="5">
        <f>ROUND(151411.51,0)</f>
        <v>151412</v>
      </c>
      <c r="L1943" s="7">
        <f>ROUND(0.0000526219612157306,4)</f>
        <v>1E-4</v>
      </c>
    </row>
    <row r="1944" spans="1:12">
      <c r="A1944" s="3" t="s">
        <v>4000</v>
      </c>
      <c r="B1944" s="4" t="s">
        <v>4001</v>
      </c>
      <c r="C1944" s="4" t="s">
        <v>534</v>
      </c>
      <c r="D1944" s="4" t="s">
        <v>569</v>
      </c>
      <c r="E1944" s="4" t="s">
        <v>570</v>
      </c>
      <c r="F1944" s="4" t="s">
        <v>19</v>
      </c>
      <c r="G1944" s="4" t="s">
        <v>408</v>
      </c>
      <c r="H1944" s="5">
        <f>ROUND(673,0)</f>
        <v>673</v>
      </c>
      <c r="I1944" s="6">
        <f>ROUND(169.5,2)</f>
        <v>169.5</v>
      </c>
      <c r="J1944" s="6">
        <f>ROUND(1.3267035,2)</f>
        <v>1.33</v>
      </c>
      <c r="K1944" s="5">
        <f>ROUND(151341.71,0)</f>
        <v>151342</v>
      </c>
      <c r="L1944" s="7">
        <f>ROUND(0.0000525977027370135,4)</f>
        <v>1E-4</v>
      </c>
    </row>
    <row r="1945" spans="1:12">
      <c r="A1945" s="3" t="s">
        <v>4002</v>
      </c>
      <c r="B1945" s="4" t="s">
        <v>4003</v>
      </c>
      <c r="C1945" s="4" t="s">
        <v>534</v>
      </c>
      <c r="D1945" s="4" t="s">
        <v>655</v>
      </c>
      <c r="E1945" s="4" t="s">
        <v>656</v>
      </c>
      <c r="F1945" s="4" t="s">
        <v>26</v>
      </c>
      <c r="G1945" s="4" t="s">
        <v>408</v>
      </c>
      <c r="H1945" s="5">
        <f>ROUND(4000,0)</f>
        <v>4000</v>
      </c>
      <c r="I1945" s="6">
        <f>ROUND(32.45,2)</f>
        <v>32.450000000000003</v>
      </c>
      <c r="J1945" s="6">
        <f>ROUND(1.15901246,2)</f>
        <v>1.1599999999999999</v>
      </c>
      <c r="K1945" s="5">
        <f>ROUND(150439.82,0)</f>
        <v>150440</v>
      </c>
      <c r="L1945" s="7">
        <f>ROUND(0.0000522842574738307,4)</f>
        <v>1E-4</v>
      </c>
    </row>
    <row r="1946" spans="1:12">
      <c r="A1946" s="3" t="s">
        <v>4004</v>
      </c>
      <c r="B1946" s="4" t="s">
        <v>4005</v>
      </c>
      <c r="C1946" s="4" t="s">
        <v>566</v>
      </c>
      <c r="D1946" s="4" t="s">
        <v>486</v>
      </c>
      <c r="E1946" s="4" t="s">
        <v>30</v>
      </c>
      <c r="F1946" s="4" t="s">
        <v>20</v>
      </c>
      <c r="G1946" s="4" t="s">
        <v>408</v>
      </c>
      <c r="H1946" s="5">
        <f>ROUND(4734,0)</f>
        <v>4734</v>
      </c>
      <c r="I1946" s="6">
        <f>ROUND(283.6,2)</f>
        <v>283.60000000000002</v>
      </c>
      <c r="J1946" s="6">
        <f>ROUND(11.19645077,2)</f>
        <v>11.2</v>
      </c>
      <c r="K1946" s="5">
        <f>ROUND(150319.29,0)</f>
        <v>150319</v>
      </c>
      <c r="L1946" s="7">
        <f>ROUND(0.0000522423681552093,4)</f>
        <v>1E-4</v>
      </c>
    </row>
    <row r="1947" spans="1:12">
      <c r="A1947" s="3" t="s">
        <v>4006</v>
      </c>
      <c r="B1947" s="4" t="s">
        <v>4007</v>
      </c>
      <c r="C1947" s="4" t="s">
        <v>400</v>
      </c>
      <c r="D1947" s="4" t="s">
        <v>655</v>
      </c>
      <c r="E1947" s="4" t="s">
        <v>656</v>
      </c>
      <c r="F1947" s="4" t="s">
        <v>26</v>
      </c>
      <c r="G1947" s="4" t="s">
        <v>408</v>
      </c>
      <c r="H1947" s="5">
        <f>ROUND(84000,0)</f>
        <v>84000</v>
      </c>
      <c r="I1947" s="6">
        <f>ROUND(1.54,2)</f>
        <v>1.54</v>
      </c>
      <c r="J1947" s="6">
        <f>ROUND(1.15901246,2)</f>
        <v>1.1599999999999999</v>
      </c>
      <c r="K1947" s="5">
        <f>ROUND(149929.85,0)</f>
        <v>149930</v>
      </c>
      <c r="L1947" s="7">
        <f>ROUND(0.0000521070211358457,4)</f>
        <v>1E-4</v>
      </c>
    </row>
    <row r="1948" spans="1:12">
      <c r="A1948" s="3" t="s">
        <v>4008</v>
      </c>
      <c r="B1948" s="4" t="s">
        <v>4009</v>
      </c>
      <c r="C1948" s="4" t="s">
        <v>415</v>
      </c>
      <c r="D1948" s="4" t="s">
        <v>407</v>
      </c>
      <c r="E1948" s="4" t="s">
        <v>35</v>
      </c>
      <c r="F1948" s="4" t="s">
        <v>21</v>
      </c>
      <c r="G1948" s="4" t="s">
        <v>408</v>
      </c>
      <c r="H1948" s="5">
        <f>ROUND(425,0)</f>
        <v>425</v>
      </c>
      <c r="I1948" s="6">
        <f>ROUND(38.68,2)</f>
        <v>38.68</v>
      </c>
      <c r="J1948" s="6">
        <f>ROUND(9.08595,2)</f>
        <v>9.09</v>
      </c>
      <c r="K1948" s="5">
        <f>ROUND(149363.93,0)</f>
        <v>149364</v>
      </c>
      <c r="L1948" s="7">
        <f>ROUND(0.0000519103397851927,4)</f>
        <v>1E-4</v>
      </c>
    </row>
    <row r="1949" spans="1:12">
      <c r="A1949" s="3" t="s">
        <v>4010</v>
      </c>
      <c r="B1949" s="4" t="s">
        <v>4011</v>
      </c>
      <c r="C1949" s="4" t="s">
        <v>415</v>
      </c>
      <c r="D1949" s="4" t="s">
        <v>456</v>
      </c>
      <c r="E1949" s="4" t="s">
        <v>457</v>
      </c>
      <c r="F1949" s="4" t="s">
        <v>21</v>
      </c>
      <c r="G1949" s="4" t="s">
        <v>408</v>
      </c>
      <c r="H1949" s="5">
        <f>ROUND(1019,0)</f>
        <v>1019</v>
      </c>
      <c r="I1949" s="6">
        <f>ROUND(16.13,2)</f>
        <v>16.13</v>
      </c>
      <c r="J1949" s="6">
        <f>ROUND(9.08595,2)</f>
        <v>9.09</v>
      </c>
      <c r="K1949" s="5">
        <f>ROUND(149340.94,0)</f>
        <v>149341</v>
      </c>
      <c r="L1949" s="7">
        <f>ROUND(0.0000519023497790937,4)</f>
        <v>1E-4</v>
      </c>
    </row>
    <row r="1950" spans="1:12">
      <c r="A1950" s="3" t="s">
        <v>4012</v>
      </c>
      <c r="B1950" s="4" t="s">
        <v>4013</v>
      </c>
      <c r="C1950" s="4" t="s">
        <v>400</v>
      </c>
      <c r="D1950" s="4" t="s">
        <v>407</v>
      </c>
      <c r="E1950" s="4" t="s">
        <v>35</v>
      </c>
      <c r="F1950" s="4" t="s">
        <v>21</v>
      </c>
      <c r="G1950" s="4" t="s">
        <v>408</v>
      </c>
      <c r="H1950" s="5">
        <f>ROUND(88,0)</f>
        <v>88</v>
      </c>
      <c r="I1950" s="6">
        <f>ROUND(185.65,2)</f>
        <v>185.65</v>
      </c>
      <c r="J1950" s="6">
        <f>ROUND(9.08595,2)</f>
        <v>9.09</v>
      </c>
      <c r="K1950" s="5">
        <f>ROUND(148438.98,0)</f>
        <v>148439</v>
      </c>
      <c r="L1950" s="7">
        <f>ROUND(0.0000515888801879237,4)</f>
        <v>1E-4</v>
      </c>
    </row>
    <row r="1951" spans="1:12">
      <c r="A1951" s="3" t="s">
        <v>4014</v>
      </c>
      <c r="B1951" s="4" t="s">
        <v>4015</v>
      </c>
      <c r="C1951" s="4" t="s">
        <v>422</v>
      </c>
      <c r="D1951" s="4" t="s">
        <v>552</v>
      </c>
      <c r="E1951" s="4" t="s">
        <v>553</v>
      </c>
      <c r="F1951" s="4" t="s">
        <v>26</v>
      </c>
      <c r="G1951" s="4" t="s">
        <v>408</v>
      </c>
      <c r="H1951" s="5">
        <f>ROUND(4000,0)</f>
        <v>4000</v>
      </c>
      <c r="I1951" s="6">
        <f>ROUND(31.75,2)</f>
        <v>31.75</v>
      </c>
      <c r="J1951" s="6">
        <f>ROUND(1.15901246,2)</f>
        <v>1.1599999999999999</v>
      </c>
      <c r="K1951" s="5">
        <f>ROUND(147194.58,0)</f>
        <v>147195</v>
      </c>
      <c r="L1951" s="7">
        <f>ROUND(0.0000511563980831164,4)</f>
        <v>1E-4</v>
      </c>
    </row>
    <row r="1952" spans="1:12">
      <c r="A1952" s="3" t="s">
        <v>4016</v>
      </c>
      <c r="B1952" s="4" t="s">
        <v>4017</v>
      </c>
      <c r="C1952" s="4" t="s">
        <v>545</v>
      </c>
      <c r="D1952" s="4" t="s">
        <v>486</v>
      </c>
      <c r="E1952" s="4" t="s">
        <v>30</v>
      </c>
      <c r="F1952" s="4" t="s">
        <v>175</v>
      </c>
      <c r="G1952" s="4" t="s">
        <v>408</v>
      </c>
      <c r="H1952" s="5">
        <f>ROUND(843,0)</f>
        <v>843</v>
      </c>
      <c r="I1952" s="6">
        <f>ROUND(29045,2)</f>
        <v>29045</v>
      </c>
      <c r="J1952" s="6">
        <f>ROUND(0.59923836,2)</f>
        <v>0.6</v>
      </c>
      <c r="K1952" s="5">
        <f>ROUND(146723.12,0)</f>
        <v>146723</v>
      </c>
      <c r="L1952" s="7">
        <f>ROUND(0.0000509925456135467,4)</f>
        <v>1E-4</v>
      </c>
    </row>
    <row r="1953" spans="1:12">
      <c r="A1953" s="3" t="s">
        <v>4018</v>
      </c>
      <c r="B1953" s="4" t="s">
        <v>4019</v>
      </c>
      <c r="C1953" s="4" t="s">
        <v>534</v>
      </c>
      <c r="D1953" s="4" t="s">
        <v>1221</v>
      </c>
      <c r="E1953" s="4" t="s">
        <v>1222</v>
      </c>
      <c r="F1953" s="4" t="s">
        <v>21</v>
      </c>
      <c r="G1953" s="4" t="s">
        <v>408</v>
      </c>
      <c r="H1953" s="5">
        <f>ROUND(102600,0)</f>
        <v>102600</v>
      </c>
      <c r="I1953" s="6">
        <f>ROUND(0.156,2)</f>
        <v>0.16</v>
      </c>
      <c r="J1953" s="6">
        <f>ROUND(9.08595,2)</f>
        <v>9.09</v>
      </c>
      <c r="K1953" s="5">
        <f>ROUND(145426.08,0)</f>
        <v>145426</v>
      </c>
      <c r="L1953" s="7">
        <f>ROUND(0.0000505417688623258,4)</f>
        <v>1E-4</v>
      </c>
    </row>
    <row r="1954" spans="1:12">
      <c r="A1954" s="3" t="s">
        <v>4020</v>
      </c>
      <c r="B1954" s="4" t="s">
        <v>4021</v>
      </c>
      <c r="C1954" s="4" t="s">
        <v>389</v>
      </c>
      <c r="D1954" s="4" t="s">
        <v>407</v>
      </c>
      <c r="E1954" s="4" t="s">
        <v>35</v>
      </c>
      <c r="F1954" s="4" t="s">
        <v>21</v>
      </c>
      <c r="G1954" s="4" t="s">
        <v>408</v>
      </c>
      <c r="H1954" s="5">
        <f>ROUND(800,0)</f>
        <v>800</v>
      </c>
      <c r="I1954" s="6">
        <f>ROUND(19.94,2)</f>
        <v>19.940000000000001</v>
      </c>
      <c r="J1954" s="6">
        <f>ROUND(9.08595,2)</f>
        <v>9.09</v>
      </c>
      <c r="K1954" s="5">
        <f>ROUND(144939.07,0)</f>
        <v>144939</v>
      </c>
      <c r="L1954" s="7">
        <f>ROUND(0.0000503725121041595,4)</f>
        <v>1E-4</v>
      </c>
    </row>
    <row r="1955" spans="1:12">
      <c r="A1955" s="3" t="s">
        <v>4022</v>
      </c>
      <c r="B1955" s="4" t="s">
        <v>4023</v>
      </c>
      <c r="C1955" s="4" t="s">
        <v>389</v>
      </c>
      <c r="D1955" s="4" t="s">
        <v>489</v>
      </c>
      <c r="E1955" s="4" t="s">
        <v>490</v>
      </c>
      <c r="F1955" s="4" t="s">
        <v>45</v>
      </c>
      <c r="G1955" s="4" t="s">
        <v>408</v>
      </c>
      <c r="H1955" s="5">
        <f>ROUND(200,0)</f>
        <v>200</v>
      </c>
      <c r="I1955" s="6">
        <f>ROUND(8560,2)</f>
        <v>8560</v>
      </c>
      <c r="J1955" s="6">
        <f>ROUND(8.407077,2)</f>
        <v>8.41</v>
      </c>
      <c r="K1955" s="5">
        <f>ROUND(143929.16,0)</f>
        <v>143929</v>
      </c>
      <c r="L1955" s="7">
        <f>ROUND(0.0000500215252812199,4)</f>
        <v>1E-4</v>
      </c>
    </row>
    <row r="1956" spans="1:12">
      <c r="A1956" s="3" t="s">
        <v>4024</v>
      </c>
      <c r="B1956" s="4" t="s">
        <v>4025</v>
      </c>
      <c r="C1956" s="4" t="s">
        <v>415</v>
      </c>
      <c r="D1956" s="4" t="s">
        <v>395</v>
      </c>
      <c r="E1956" s="4" t="s">
        <v>396</v>
      </c>
      <c r="F1956" s="4" t="s">
        <v>397</v>
      </c>
      <c r="G1956" s="4" t="s">
        <v>408</v>
      </c>
      <c r="H1956" s="5">
        <f>ROUND(5534,0)</f>
        <v>5534</v>
      </c>
      <c r="I1956" s="6">
        <f>ROUND(11.91,2)</f>
        <v>11.91</v>
      </c>
      <c r="J1956" s="6">
        <f>ROUND(2.18129969,2)</f>
        <v>2.1800000000000002</v>
      </c>
      <c r="K1956" s="5">
        <f>ROUND(143769.33,0)</f>
        <v>143769</v>
      </c>
      <c r="L1956" s="7">
        <f>ROUND(0.0000499659775354699,4)</f>
        <v>0</v>
      </c>
    </row>
    <row r="1957" spans="1:12">
      <c r="A1957" s="3" t="s">
        <v>4026</v>
      </c>
      <c r="B1957" s="4" t="s">
        <v>4027</v>
      </c>
      <c r="C1957" s="4" t="s">
        <v>445</v>
      </c>
      <c r="D1957" s="4" t="s">
        <v>496</v>
      </c>
      <c r="E1957" s="4" t="s">
        <v>497</v>
      </c>
      <c r="F1957" s="4" t="s">
        <v>21</v>
      </c>
      <c r="G1957" s="4" t="s">
        <v>408</v>
      </c>
      <c r="H1957" s="5">
        <f>ROUND(800,0)</f>
        <v>800</v>
      </c>
      <c r="I1957" s="6">
        <f>ROUND(19.51,2)</f>
        <v>19.510000000000002</v>
      </c>
      <c r="J1957" s="6">
        <f>ROUND(9.08595,2)</f>
        <v>9.09</v>
      </c>
      <c r="K1957" s="5">
        <f>ROUND(141813.51,0)</f>
        <v>141814</v>
      </c>
      <c r="L1957" s="7">
        <f>ROUND(0.0000492862466207927,4)</f>
        <v>0</v>
      </c>
    </row>
    <row r="1958" spans="1:12">
      <c r="A1958" s="3" t="s">
        <v>4028</v>
      </c>
      <c r="B1958" s="4" t="s">
        <v>4029</v>
      </c>
      <c r="C1958" s="4" t="s">
        <v>389</v>
      </c>
      <c r="D1958" s="4" t="s">
        <v>407</v>
      </c>
      <c r="E1958" s="4" t="s">
        <v>35</v>
      </c>
      <c r="F1958" s="4" t="s">
        <v>21</v>
      </c>
      <c r="G1958" s="4" t="s">
        <v>408</v>
      </c>
      <c r="H1958" s="5">
        <f>ROUND(300,0)</f>
        <v>300</v>
      </c>
      <c r="I1958" s="6">
        <f>ROUND(51.74,2)</f>
        <v>51.74</v>
      </c>
      <c r="J1958" s="6">
        <f>ROUND(9.08595,2)</f>
        <v>9.09</v>
      </c>
      <c r="K1958" s="5">
        <f>ROUND(141032.12,0)</f>
        <v>141032</v>
      </c>
      <c r="L1958" s="7">
        <f>ROUND(0.000049014680249951,4)</f>
        <v>0</v>
      </c>
    </row>
    <row r="1959" spans="1:12">
      <c r="A1959" s="3" t="s">
        <v>4030</v>
      </c>
      <c r="B1959" s="4" t="s">
        <v>4031</v>
      </c>
      <c r="C1959" s="4" t="s">
        <v>389</v>
      </c>
      <c r="D1959" s="4" t="s">
        <v>407</v>
      </c>
      <c r="E1959" s="4" t="s">
        <v>35</v>
      </c>
      <c r="F1959" s="4" t="s">
        <v>21</v>
      </c>
      <c r="G1959" s="4" t="s">
        <v>408</v>
      </c>
      <c r="H1959" s="5">
        <f>ROUND(1500,0)</f>
        <v>1500</v>
      </c>
      <c r="I1959" s="6">
        <f>ROUND(10.315,2)</f>
        <v>10.32</v>
      </c>
      <c r="J1959" s="6">
        <f>ROUND(9.08595,2)</f>
        <v>9.09</v>
      </c>
      <c r="K1959" s="5">
        <f>ROUND(140582.36,0)</f>
        <v>140582</v>
      </c>
      <c r="L1959" s="7">
        <f>ROUND(0.0000488583694564295,4)</f>
        <v>0</v>
      </c>
    </row>
    <row r="1960" spans="1:12">
      <c r="A1960" s="3" t="s">
        <v>4032</v>
      </c>
      <c r="B1960" s="4" t="s">
        <v>4033</v>
      </c>
      <c r="C1960" s="4" t="s">
        <v>430</v>
      </c>
      <c r="D1960" s="4" t="s">
        <v>2447</v>
      </c>
      <c r="E1960" s="4" t="s">
        <v>2448</v>
      </c>
      <c r="F1960" s="4" t="s">
        <v>250</v>
      </c>
      <c r="G1960" s="4" t="s">
        <v>408</v>
      </c>
      <c r="H1960" s="5">
        <f>ROUND(13156,0)</f>
        <v>13156</v>
      </c>
      <c r="I1960" s="6">
        <f>ROUND(4.704,2)</f>
        <v>4.7</v>
      </c>
      <c r="J1960" s="6">
        <f>ROUND(2.26631585,2)</f>
        <v>2.27</v>
      </c>
      <c r="K1960" s="5">
        <f>ROUND(140252.81,0)</f>
        <v>140253</v>
      </c>
      <c r="L1960" s="7">
        <f>ROUND(0.0000487438367678734,4)</f>
        <v>0</v>
      </c>
    </row>
    <row r="1961" spans="1:12">
      <c r="A1961" s="3" t="s">
        <v>4034</v>
      </c>
      <c r="B1961" s="4" t="s">
        <v>4035</v>
      </c>
      <c r="C1961" s="4" t="s">
        <v>389</v>
      </c>
      <c r="D1961" s="4" t="s">
        <v>739</v>
      </c>
      <c r="E1961" s="4" t="s">
        <v>740</v>
      </c>
      <c r="F1961" s="4" t="s">
        <v>741</v>
      </c>
      <c r="G1961" s="4" t="s">
        <v>408</v>
      </c>
      <c r="H1961" s="5">
        <f>ROUND(305,0)</f>
        <v>305</v>
      </c>
      <c r="I1961" s="6">
        <f>ROUND(60400,2)</f>
        <v>60400</v>
      </c>
      <c r="J1961" s="6">
        <f>ROUND(0.00759599,2)</f>
        <v>0.01</v>
      </c>
      <c r="K1961" s="5">
        <f>ROUND(139933.33,0)</f>
        <v>139933</v>
      </c>
      <c r="L1961" s="7">
        <f>ROUND(0.0000486328038340548,4)</f>
        <v>0</v>
      </c>
    </row>
    <row r="1962" spans="1:12">
      <c r="A1962" s="3" t="s">
        <v>4036</v>
      </c>
      <c r="B1962" s="4" t="s">
        <v>4037</v>
      </c>
      <c r="C1962" s="4" t="s">
        <v>415</v>
      </c>
      <c r="D1962" s="4" t="s">
        <v>489</v>
      </c>
      <c r="E1962" s="4" t="s">
        <v>490</v>
      </c>
      <c r="F1962" s="4" t="s">
        <v>45</v>
      </c>
      <c r="G1962" s="4" t="s">
        <v>408</v>
      </c>
      <c r="H1962" s="5">
        <f>ROUND(400,0)</f>
        <v>400</v>
      </c>
      <c r="I1962" s="6">
        <f>ROUND(4150,2)</f>
        <v>4150</v>
      </c>
      <c r="J1962" s="6">
        <f>ROUND(8.407077,2)</f>
        <v>8.41</v>
      </c>
      <c r="K1962" s="5">
        <f>ROUND(139557.48,0)</f>
        <v>139557</v>
      </c>
      <c r="L1962" s="7">
        <f>ROUND(0.0000485021799196448,4)</f>
        <v>0</v>
      </c>
    </row>
    <row r="1963" spans="1:12">
      <c r="A1963" s="3" t="s">
        <v>4038</v>
      </c>
      <c r="B1963" s="4" t="s">
        <v>4039</v>
      </c>
      <c r="C1963" s="4" t="s">
        <v>493</v>
      </c>
      <c r="D1963" s="4" t="s">
        <v>1217</v>
      </c>
      <c r="E1963" s="4" t="s">
        <v>1218</v>
      </c>
      <c r="F1963" s="4" t="s">
        <v>26</v>
      </c>
      <c r="G1963" s="4" t="s">
        <v>408</v>
      </c>
      <c r="H1963" s="5">
        <f>ROUND(30000,0)</f>
        <v>30000</v>
      </c>
      <c r="I1963" s="6">
        <f>ROUND(4.01,2)</f>
        <v>4.01</v>
      </c>
      <c r="J1963" s="6">
        <f>ROUND(1.15901246,2)</f>
        <v>1.1599999999999999</v>
      </c>
      <c r="K1963" s="5">
        <f>ROUND(139429.2,0)</f>
        <v>139429</v>
      </c>
      <c r="L1963" s="7">
        <f>ROUND(0.000048457597145292,4)</f>
        <v>0</v>
      </c>
    </row>
    <row r="1964" spans="1:12">
      <c r="A1964" s="3" t="s">
        <v>4040</v>
      </c>
      <c r="B1964" s="4" t="s">
        <v>4041</v>
      </c>
      <c r="C1964" s="4" t="s">
        <v>566</v>
      </c>
      <c r="D1964" s="4" t="s">
        <v>552</v>
      </c>
      <c r="E1964" s="4" t="s">
        <v>553</v>
      </c>
      <c r="F1964" s="4" t="s">
        <v>26</v>
      </c>
      <c r="G1964" s="4" t="s">
        <v>408</v>
      </c>
      <c r="H1964" s="5">
        <f>ROUND(7000,0)</f>
        <v>7000</v>
      </c>
      <c r="I1964" s="6">
        <f>ROUND(17.1,2)</f>
        <v>17.100000000000001</v>
      </c>
      <c r="J1964" s="6">
        <f>ROUND(1.15901246,2)</f>
        <v>1.1599999999999999</v>
      </c>
      <c r="K1964" s="5">
        <f>ROUND(138733.79,0)</f>
        <v>138734</v>
      </c>
      <c r="L1964" s="7">
        <f>ROUND(0.0000482159124936493,4)</f>
        <v>0</v>
      </c>
    </row>
    <row r="1965" spans="1:12">
      <c r="A1965" s="3" t="s">
        <v>4042</v>
      </c>
      <c r="B1965" s="4" t="s">
        <v>4043</v>
      </c>
      <c r="C1965" s="4" t="s">
        <v>389</v>
      </c>
      <c r="D1965" s="4" t="s">
        <v>401</v>
      </c>
      <c r="E1965" s="4" t="s">
        <v>402</v>
      </c>
      <c r="F1965" s="4" t="s">
        <v>403</v>
      </c>
      <c r="G1965" s="4" t="s">
        <v>408</v>
      </c>
      <c r="H1965" s="5">
        <f>ROUND(1000,0)</f>
        <v>1000</v>
      </c>
      <c r="I1965" s="6">
        <f>ROUND(471.5,2)</f>
        <v>471.5</v>
      </c>
      <c r="J1965" s="6">
        <f>ROUND(0.29286371,2)</f>
        <v>0.28999999999999998</v>
      </c>
      <c r="K1965" s="5">
        <f>ROUND(138085.24,0)</f>
        <v>138085</v>
      </c>
      <c r="L1965" s="7">
        <f>ROUND(0.0000479905136917586,4)</f>
        <v>0</v>
      </c>
    </row>
    <row r="1966" spans="1:12">
      <c r="A1966" s="3" t="s">
        <v>4044</v>
      </c>
      <c r="B1966" s="4" t="s">
        <v>4045</v>
      </c>
      <c r="C1966" s="4" t="s">
        <v>389</v>
      </c>
      <c r="D1966" s="4" t="s">
        <v>717</v>
      </c>
      <c r="E1966" s="4" t="s">
        <v>718</v>
      </c>
      <c r="F1966" s="4" t="s">
        <v>175</v>
      </c>
      <c r="G1966" s="4" t="s">
        <v>408</v>
      </c>
      <c r="H1966" s="5">
        <f>ROUND(1404,0)</f>
        <v>1404</v>
      </c>
      <c r="I1966" s="6">
        <f>ROUND(16346,2)</f>
        <v>16346</v>
      </c>
      <c r="J1966" s="6">
        <f>ROUND(0.59923836,2)</f>
        <v>0.6</v>
      </c>
      <c r="K1966" s="5">
        <f>ROUND(137523.91,0)</f>
        <v>137524</v>
      </c>
      <c r="L1966" s="7">
        <f>ROUND(0.0000477954275619841,4)</f>
        <v>0</v>
      </c>
    </row>
    <row r="1967" spans="1:12">
      <c r="A1967" s="3" t="s">
        <v>4046</v>
      </c>
      <c r="B1967" s="4" t="s">
        <v>4047</v>
      </c>
      <c r="C1967" s="4" t="s">
        <v>534</v>
      </c>
      <c r="D1967" s="4" t="s">
        <v>552</v>
      </c>
      <c r="E1967" s="4" t="s">
        <v>553</v>
      </c>
      <c r="F1967" s="4" t="s">
        <v>26</v>
      </c>
      <c r="G1967" s="4" t="s">
        <v>408</v>
      </c>
      <c r="H1967" s="5">
        <f>ROUND(10000,0)</f>
        <v>10000</v>
      </c>
      <c r="I1967" s="6">
        <f>ROUND(11.8,2)</f>
        <v>11.8</v>
      </c>
      <c r="J1967" s="6">
        <f>ROUND(1.15901246,2)</f>
        <v>1.1599999999999999</v>
      </c>
      <c r="K1967" s="5">
        <f>ROUND(136763.47,0)</f>
        <v>136763</v>
      </c>
      <c r="L1967" s="7">
        <f>ROUND(0.0000475311422101842,4)</f>
        <v>0</v>
      </c>
    </row>
    <row r="1968" spans="1:12">
      <c r="A1968" s="3" t="s">
        <v>4048</v>
      </c>
      <c r="B1968" s="4" t="s">
        <v>4049</v>
      </c>
      <c r="C1968" s="4" t="s">
        <v>445</v>
      </c>
      <c r="D1968" s="4" t="s">
        <v>486</v>
      </c>
      <c r="E1968" s="4" t="s">
        <v>30</v>
      </c>
      <c r="F1968" s="4" t="s">
        <v>20</v>
      </c>
      <c r="G1968" s="4" t="s">
        <v>408</v>
      </c>
      <c r="H1968" s="5">
        <f>ROUND(6968,0)</f>
        <v>6968</v>
      </c>
      <c r="I1968" s="6">
        <f>ROUND(175.2,2)</f>
        <v>175.2</v>
      </c>
      <c r="J1968" s="6">
        <f>ROUND(11.19645077,2)</f>
        <v>11.2</v>
      </c>
      <c r="K1968" s="5">
        <f>ROUND(136685.6,0)</f>
        <v>136686</v>
      </c>
      <c r="L1968" s="7">
        <f>ROUND(0.0000475040790620797,4)</f>
        <v>0</v>
      </c>
    </row>
    <row r="1969" spans="1:12">
      <c r="A1969" s="3" t="s">
        <v>4050</v>
      </c>
      <c r="B1969" s="4" t="s">
        <v>4051</v>
      </c>
      <c r="C1969" s="4" t="s">
        <v>406</v>
      </c>
      <c r="D1969" s="4" t="s">
        <v>456</v>
      </c>
      <c r="E1969" s="4" t="s">
        <v>457</v>
      </c>
      <c r="F1969" s="4" t="s">
        <v>26</v>
      </c>
      <c r="G1969" s="4" t="s">
        <v>408</v>
      </c>
      <c r="H1969" s="5">
        <f>ROUND(7000,0)</f>
        <v>7000</v>
      </c>
      <c r="I1969" s="6">
        <f>ROUND(16.64,2)</f>
        <v>16.64</v>
      </c>
      <c r="J1969" s="6">
        <f>ROUND(1.15901246,2)</f>
        <v>1.1599999999999999</v>
      </c>
      <c r="K1969" s="5">
        <f>ROUND(135001.77,0)</f>
        <v>135002</v>
      </c>
      <c r="L1969" s="7">
        <f>ROUND(0.0000469188762795839,4)</f>
        <v>0</v>
      </c>
    </row>
    <row r="1970" spans="1:12">
      <c r="A1970" s="3" t="s">
        <v>2196</v>
      </c>
      <c r="B1970" s="4" t="s">
        <v>4052</v>
      </c>
      <c r="C1970" s="4" t="s">
        <v>422</v>
      </c>
      <c r="D1970" s="4" t="s">
        <v>423</v>
      </c>
      <c r="E1970" s="4" t="s">
        <v>25</v>
      </c>
      <c r="F1970" s="4" t="s">
        <v>16</v>
      </c>
      <c r="G1970" s="4" t="s">
        <v>408</v>
      </c>
      <c r="H1970" s="5">
        <f>ROUND(2,0)</f>
        <v>2</v>
      </c>
      <c r="I1970" s="6">
        <f>ROUND(7370,2)</f>
        <v>7370</v>
      </c>
      <c r="J1970" s="6">
        <f>ROUND(9.11185723,2)</f>
        <v>9.11</v>
      </c>
      <c r="K1970" s="5">
        <f>ROUND(134308.78,0)</f>
        <v>134309</v>
      </c>
      <c r="L1970" s="7">
        <f>ROUND(0.0000466780326812149,4)</f>
        <v>0</v>
      </c>
    </row>
    <row r="1971" spans="1:12">
      <c r="A1971" s="3" t="s">
        <v>4053</v>
      </c>
      <c r="B1971" s="4" t="s">
        <v>4054</v>
      </c>
      <c r="C1971" s="4" t="s">
        <v>389</v>
      </c>
      <c r="D1971" s="4" t="s">
        <v>395</v>
      </c>
      <c r="E1971" s="4" t="s">
        <v>396</v>
      </c>
      <c r="F1971" s="4" t="s">
        <v>397</v>
      </c>
      <c r="G1971" s="4" t="s">
        <v>408</v>
      </c>
      <c r="H1971" s="5">
        <f>ROUND(5453,0)</f>
        <v>5453</v>
      </c>
      <c r="I1971" s="6">
        <f>ROUND(11.18,2)</f>
        <v>11.18</v>
      </c>
      <c r="J1971" s="6">
        <f>ROUND(2.18129969,2)</f>
        <v>2.1800000000000002</v>
      </c>
      <c r="K1971" s="5">
        <f>ROUND(132981.93,0)</f>
        <v>132982</v>
      </c>
      <c r="L1971" s="7">
        <f>ROUND(0.0000462168956828513,4)</f>
        <v>0</v>
      </c>
    </row>
    <row r="1972" spans="1:12">
      <c r="A1972" s="3" t="s">
        <v>4055</v>
      </c>
      <c r="B1972" s="4" t="s">
        <v>4056</v>
      </c>
      <c r="C1972" s="4" t="s">
        <v>415</v>
      </c>
      <c r="D1972" s="4" t="s">
        <v>1217</v>
      </c>
      <c r="E1972" s="4" t="s">
        <v>1218</v>
      </c>
      <c r="F1972" s="4" t="s">
        <v>26</v>
      </c>
      <c r="G1972" s="4" t="s">
        <v>408</v>
      </c>
      <c r="H1972" s="5">
        <f>ROUND(90000,0)</f>
        <v>90000</v>
      </c>
      <c r="I1972" s="6">
        <f>ROUND(1.27,2)</f>
        <v>1.27</v>
      </c>
      <c r="J1972" s="6">
        <f>ROUND(1.15901246,2)</f>
        <v>1.1599999999999999</v>
      </c>
      <c r="K1972" s="5">
        <f>ROUND(132475.12,0)</f>
        <v>132475</v>
      </c>
      <c r="L1972" s="7">
        <f>ROUND(0.0000460407575797194,4)</f>
        <v>0</v>
      </c>
    </row>
    <row r="1973" spans="1:12">
      <c r="A1973" s="3" t="s">
        <v>4057</v>
      </c>
      <c r="B1973" s="4" t="s">
        <v>4058</v>
      </c>
      <c r="C1973" s="4" t="s">
        <v>389</v>
      </c>
      <c r="D1973" s="4" t="s">
        <v>717</v>
      </c>
      <c r="E1973" s="4" t="s">
        <v>718</v>
      </c>
      <c r="F1973" s="4" t="s">
        <v>175</v>
      </c>
      <c r="G1973" s="4" t="s">
        <v>408</v>
      </c>
      <c r="H1973" s="5">
        <f>ROUND(1392,0)</f>
        <v>1392</v>
      </c>
      <c r="I1973" s="6">
        <f>ROUND(15825,2)</f>
        <v>15825</v>
      </c>
      <c r="J1973" s="6">
        <f>ROUND(0.59923836,2)</f>
        <v>0.6</v>
      </c>
      <c r="K1973" s="5">
        <f>ROUND(132002.62,0)</f>
        <v>132003</v>
      </c>
      <c r="L1973" s="7">
        <f>ROUND(0.0000458765436657677,4)</f>
        <v>0</v>
      </c>
    </row>
    <row r="1974" spans="1:12">
      <c r="A1974" s="3" t="s">
        <v>4059</v>
      </c>
      <c r="B1974" s="4" t="s">
        <v>4060</v>
      </c>
      <c r="C1974" s="4" t="s">
        <v>389</v>
      </c>
      <c r="D1974" s="4" t="s">
        <v>407</v>
      </c>
      <c r="E1974" s="4" t="s">
        <v>35</v>
      </c>
      <c r="F1974" s="4" t="s">
        <v>21</v>
      </c>
      <c r="G1974" s="4" t="s">
        <v>408</v>
      </c>
      <c r="H1974" s="5">
        <f>ROUND(800,0)</f>
        <v>800</v>
      </c>
      <c r="I1974" s="6">
        <f>ROUND(18.13,2)</f>
        <v>18.13</v>
      </c>
      <c r="J1974" s="6">
        <f>ROUND(9.08595,2)</f>
        <v>9.09</v>
      </c>
      <c r="K1974" s="5">
        <f>ROUND(131782.62,0)</f>
        <v>131783</v>
      </c>
      <c r="L1974" s="7">
        <f>ROUND(0.0000458000842772611,4)</f>
        <v>0</v>
      </c>
    </row>
    <row r="1975" spans="1:12">
      <c r="A1975" s="3" t="s">
        <v>4061</v>
      </c>
      <c r="B1975" s="4" t="s">
        <v>4062</v>
      </c>
      <c r="C1975" s="4" t="s">
        <v>534</v>
      </c>
      <c r="D1975" s="4" t="s">
        <v>489</v>
      </c>
      <c r="E1975" s="4" t="s">
        <v>490</v>
      </c>
      <c r="F1975" s="4" t="s">
        <v>45</v>
      </c>
      <c r="G1975" s="4" t="s">
        <v>408</v>
      </c>
      <c r="H1975" s="5">
        <f>ROUND(600,0)</f>
        <v>600</v>
      </c>
      <c r="I1975" s="6">
        <f>ROUND(2605,2)</f>
        <v>2605</v>
      </c>
      <c r="J1975" s="6">
        <f>ROUND(8.407077,2)</f>
        <v>8.41</v>
      </c>
      <c r="K1975" s="5">
        <f>ROUND(131402.61,0)</f>
        <v>131403</v>
      </c>
      <c r="L1975" s="7">
        <f>ROUND(0.000045668014585323,4)</f>
        <v>0</v>
      </c>
    </row>
    <row r="1976" spans="1:12">
      <c r="A1976" s="3" t="s">
        <v>4063</v>
      </c>
      <c r="B1976" s="4" t="s">
        <v>4064</v>
      </c>
      <c r="C1976" s="4" t="s">
        <v>430</v>
      </c>
      <c r="D1976" s="4" t="s">
        <v>407</v>
      </c>
      <c r="E1976" s="4" t="s">
        <v>35</v>
      </c>
      <c r="F1976" s="4" t="s">
        <v>21</v>
      </c>
      <c r="G1976" s="4" t="s">
        <v>408</v>
      </c>
      <c r="H1976" s="5">
        <f>ROUND(300,0)</f>
        <v>300</v>
      </c>
      <c r="I1976" s="6">
        <f>ROUND(47.94,2)</f>
        <v>47.94</v>
      </c>
      <c r="J1976" s="6">
        <f>ROUND(9.08595,2)</f>
        <v>9.09</v>
      </c>
      <c r="K1976" s="5">
        <f>ROUND(130674.13,0)</f>
        <v>130674</v>
      </c>
      <c r="L1976" s="7">
        <f>ROUND(0.0000454148366974171,4)</f>
        <v>0</v>
      </c>
    </row>
    <row r="1977" spans="1:12">
      <c r="A1977" s="3" t="s">
        <v>4065</v>
      </c>
      <c r="B1977" s="4" t="s">
        <v>4066</v>
      </c>
      <c r="C1977" s="4" t="s">
        <v>400</v>
      </c>
      <c r="D1977" s="4" t="s">
        <v>2447</v>
      </c>
      <c r="E1977" s="4" t="s">
        <v>2448</v>
      </c>
      <c r="F1977" s="4" t="s">
        <v>250</v>
      </c>
      <c r="G1977" s="4" t="s">
        <v>408</v>
      </c>
      <c r="H1977" s="5">
        <f>ROUND(165,0)</f>
        <v>165</v>
      </c>
      <c r="I1977" s="6">
        <f>ROUND(347.6,2)</f>
        <v>347.6</v>
      </c>
      <c r="J1977" s="6">
        <f>ROUND(2.26631585,2)</f>
        <v>2.27</v>
      </c>
      <c r="K1977" s="5">
        <f>ROUND(129982.28,0)</f>
        <v>129982</v>
      </c>
      <c r="L1977" s="7">
        <f>ROUND(0.0000451743892976976,4)</f>
        <v>0</v>
      </c>
    </row>
    <row r="1978" spans="1:12">
      <c r="A1978" s="3" t="s">
        <v>4067</v>
      </c>
      <c r="B1978" s="4" t="s">
        <v>4068</v>
      </c>
      <c r="C1978" s="4" t="s">
        <v>415</v>
      </c>
      <c r="D1978" s="4" t="s">
        <v>407</v>
      </c>
      <c r="E1978" s="4" t="s">
        <v>35</v>
      </c>
      <c r="F1978" s="4" t="s">
        <v>21</v>
      </c>
      <c r="G1978" s="4" t="s">
        <v>408</v>
      </c>
      <c r="H1978" s="5">
        <f>ROUND(475,0)</f>
        <v>475</v>
      </c>
      <c r="I1978" s="6">
        <f>ROUND(29.82,2)</f>
        <v>29.82</v>
      </c>
      <c r="J1978" s="6">
        <f>ROUND(9.08595,2)</f>
        <v>9.09</v>
      </c>
      <c r="K1978" s="5">
        <f>ROUND(128697.94,0)</f>
        <v>128698</v>
      </c>
      <c r="L1978" s="7">
        <f>ROUND(0.0000447280263384496,4)</f>
        <v>0</v>
      </c>
    </row>
    <row r="1979" spans="1:12">
      <c r="A1979" s="3" t="s">
        <v>4069</v>
      </c>
      <c r="B1979" s="4" t="s">
        <v>4070</v>
      </c>
      <c r="C1979" s="4" t="s">
        <v>445</v>
      </c>
      <c r="D1979" s="4" t="s">
        <v>717</v>
      </c>
      <c r="E1979" s="4" t="s">
        <v>718</v>
      </c>
      <c r="F1979" s="4" t="s">
        <v>175</v>
      </c>
      <c r="G1979" s="4" t="s">
        <v>408</v>
      </c>
      <c r="H1979" s="5">
        <f>ROUND(12232,0)</f>
        <v>12232</v>
      </c>
      <c r="I1979" s="6">
        <f>ROUND(1755,2)</f>
        <v>1755</v>
      </c>
      <c r="J1979" s="6">
        <f>ROUND(0.59923836,2)</f>
        <v>0.6</v>
      </c>
      <c r="K1979" s="5">
        <f>ROUND(128639.46,0)</f>
        <v>128639</v>
      </c>
      <c r="L1979" s="7">
        <f>ROUND(0.0000447077020428138,4)</f>
        <v>0</v>
      </c>
    </row>
    <row r="1980" spans="1:12">
      <c r="A1980" s="3" t="s">
        <v>4071</v>
      </c>
      <c r="B1980" s="4" t="s">
        <v>4072</v>
      </c>
      <c r="C1980" s="4" t="s">
        <v>400</v>
      </c>
      <c r="D1980" s="4" t="s">
        <v>655</v>
      </c>
      <c r="E1980" s="4" t="s">
        <v>656</v>
      </c>
      <c r="F1980" s="4" t="s">
        <v>26</v>
      </c>
      <c r="G1980" s="4" t="s">
        <v>408</v>
      </c>
      <c r="H1980" s="5">
        <f>ROUND(9400,0)</f>
        <v>9400</v>
      </c>
      <c r="I1980" s="6">
        <f>ROUND(11.74,2)</f>
        <v>11.74</v>
      </c>
      <c r="J1980" s="6">
        <f>ROUND(1.15901246,2)</f>
        <v>1.1599999999999999</v>
      </c>
      <c r="K1980" s="5">
        <f>ROUND(127903.98,0)</f>
        <v>127904</v>
      </c>
      <c r="L1980" s="7">
        <f>ROUND(0.0000444520913561828,4)</f>
        <v>0</v>
      </c>
    </row>
    <row r="1981" spans="1:12">
      <c r="A1981" s="3" t="s">
        <v>4073</v>
      </c>
      <c r="B1981" s="4" t="s">
        <v>4074</v>
      </c>
      <c r="C1981" s="4" t="s">
        <v>430</v>
      </c>
      <c r="D1981" s="4" t="s">
        <v>577</v>
      </c>
      <c r="E1981" s="4" t="s">
        <v>578</v>
      </c>
      <c r="F1981" s="4" t="s">
        <v>21</v>
      </c>
      <c r="G1981" s="4" t="s">
        <v>408</v>
      </c>
      <c r="H1981" s="5">
        <f>ROUND(300,0)</f>
        <v>300</v>
      </c>
      <c r="I1981" s="6">
        <f>ROUND(46.62,2)</f>
        <v>46.62</v>
      </c>
      <c r="J1981" s="6">
        <f>ROUND(9.08595,2)</f>
        <v>9.09</v>
      </c>
      <c r="K1981" s="5">
        <f>ROUND(127076.1,0)</f>
        <v>127076</v>
      </c>
      <c r="L1981" s="7">
        <f>ROUND(0.0000441643677263789,4)</f>
        <v>0</v>
      </c>
    </row>
    <row r="1982" spans="1:12">
      <c r="A1982" s="3" t="s">
        <v>4075</v>
      </c>
      <c r="B1982" s="4" t="s">
        <v>4076</v>
      </c>
      <c r="C1982" s="4" t="s">
        <v>389</v>
      </c>
      <c r="D1982" s="4" t="s">
        <v>407</v>
      </c>
      <c r="E1982" s="4" t="s">
        <v>35</v>
      </c>
      <c r="F1982" s="4" t="s">
        <v>21</v>
      </c>
      <c r="G1982" s="4" t="s">
        <v>408</v>
      </c>
      <c r="H1982" s="5">
        <f>ROUND(300,0)</f>
        <v>300</v>
      </c>
      <c r="I1982" s="6">
        <f>ROUND(46.02,2)</f>
        <v>46.02</v>
      </c>
      <c r="J1982" s="6">
        <f>ROUND(9.08595,2)</f>
        <v>9.09</v>
      </c>
      <c r="K1982" s="5">
        <f>ROUND(125440.63,0)</f>
        <v>125441</v>
      </c>
      <c r="L1982" s="7">
        <f>ROUND(0.0000435959721076476,4)</f>
        <v>0</v>
      </c>
    </row>
    <row r="1983" spans="1:12">
      <c r="A1983" s="3" t="s">
        <v>4077</v>
      </c>
      <c r="B1983" s="4" t="s">
        <v>4078</v>
      </c>
      <c r="C1983" s="4" t="s">
        <v>389</v>
      </c>
      <c r="D1983" s="4" t="s">
        <v>1217</v>
      </c>
      <c r="E1983" s="4" t="s">
        <v>1218</v>
      </c>
      <c r="F1983" s="4" t="s">
        <v>26</v>
      </c>
      <c r="G1983" s="4" t="s">
        <v>408</v>
      </c>
      <c r="H1983" s="5">
        <f>ROUND(150000,0)</f>
        <v>150000</v>
      </c>
      <c r="I1983" s="6">
        <f>ROUND(0.71,2)</f>
        <v>0.71</v>
      </c>
      <c r="J1983" s="6">
        <f>ROUND(1.15901246,2)</f>
        <v>1.1599999999999999</v>
      </c>
      <c r="K1983" s="5">
        <f>ROUND(123434.83,0)</f>
        <v>123435</v>
      </c>
      <c r="L1983" s="7">
        <f>ROUND(0.0000428988710100725,4)</f>
        <v>0</v>
      </c>
    </row>
    <row r="1984" spans="1:12">
      <c r="A1984" s="3" t="s">
        <v>4079</v>
      </c>
      <c r="B1984" s="4" t="s">
        <v>4080</v>
      </c>
      <c r="C1984" s="4" t="s">
        <v>389</v>
      </c>
      <c r="D1984" s="4" t="s">
        <v>456</v>
      </c>
      <c r="E1984" s="4" t="s">
        <v>457</v>
      </c>
      <c r="F1984" s="4" t="s">
        <v>26</v>
      </c>
      <c r="G1984" s="4" t="s">
        <v>408</v>
      </c>
      <c r="H1984" s="5">
        <f>ROUND(4000,0)</f>
        <v>4000</v>
      </c>
      <c r="I1984" s="6">
        <f>ROUND(26.55,2)</f>
        <v>26.55</v>
      </c>
      <c r="J1984" s="6">
        <f>ROUND(1.15901246,2)</f>
        <v>1.1599999999999999</v>
      </c>
      <c r="K1984" s="5">
        <f>ROUND(123087.12,0)</f>
        <v>123087</v>
      </c>
      <c r="L1984" s="7">
        <f>ROUND(0.0000427780269465378,4)</f>
        <v>0</v>
      </c>
    </row>
    <row r="1985" spans="1:12">
      <c r="A1985" s="3" t="s">
        <v>4081</v>
      </c>
      <c r="B1985" s="4" t="s">
        <v>4082</v>
      </c>
      <c r="C1985" s="4" t="s">
        <v>406</v>
      </c>
      <c r="D1985" s="4" t="s">
        <v>489</v>
      </c>
      <c r="E1985" s="4" t="s">
        <v>490</v>
      </c>
      <c r="F1985" s="4" t="s">
        <v>45</v>
      </c>
      <c r="G1985" s="4" t="s">
        <v>408</v>
      </c>
      <c r="H1985" s="5">
        <f>ROUND(1000,0)</f>
        <v>1000</v>
      </c>
      <c r="I1985" s="6">
        <f>ROUND(1450,2)</f>
        <v>1450</v>
      </c>
      <c r="J1985" s="6">
        <f>ROUND(8.407077,2)</f>
        <v>8.41</v>
      </c>
      <c r="K1985" s="5">
        <f>ROUND(121902.62,0)</f>
        <v>121903</v>
      </c>
      <c r="L1985" s="7">
        <f>ROUND(0.0000423663626479648,4)</f>
        <v>0</v>
      </c>
    </row>
    <row r="1986" spans="1:12">
      <c r="A1986" s="3" t="s">
        <v>4083</v>
      </c>
      <c r="B1986" s="4" t="s">
        <v>4084</v>
      </c>
      <c r="C1986" s="4" t="s">
        <v>445</v>
      </c>
      <c r="D1986" s="4" t="s">
        <v>717</v>
      </c>
      <c r="E1986" s="4" t="s">
        <v>718</v>
      </c>
      <c r="F1986" s="4" t="s">
        <v>175</v>
      </c>
      <c r="G1986" s="4" t="s">
        <v>408</v>
      </c>
      <c r="H1986" s="5">
        <f>ROUND(2365,0)</f>
        <v>2365</v>
      </c>
      <c r="I1986" s="6">
        <f>ROUND(8595,2)</f>
        <v>8595</v>
      </c>
      <c r="J1986" s="6">
        <f>ROUND(0.59923836,2)</f>
        <v>0.6</v>
      </c>
      <c r="K1986" s="5">
        <f>ROUND(121808.23,0)</f>
        <v>121808</v>
      </c>
      <c r="L1986" s="7">
        <f>ROUND(0.0000423335580948687,4)</f>
        <v>0</v>
      </c>
    </row>
    <row r="1987" spans="1:12">
      <c r="A1987" s="3" t="s">
        <v>4085</v>
      </c>
      <c r="B1987" s="4" t="s">
        <v>4086</v>
      </c>
      <c r="C1987" s="4" t="s">
        <v>389</v>
      </c>
      <c r="D1987" s="4" t="s">
        <v>655</v>
      </c>
      <c r="E1987" s="4" t="s">
        <v>656</v>
      </c>
      <c r="F1987" s="4" t="s">
        <v>26</v>
      </c>
      <c r="G1987" s="4" t="s">
        <v>408</v>
      </c>
      <c r="H1987" s="5">
        <f>ROUND(14000,0)</f>
        <v>14000</v>
      </c>
      <c r="I1987" s="6">
        <f>ROUND(7.5,2)</f>
        <v>7.5</v>
      </c>
      <c r="J1987" s="6">
        <f>ROUND(1.15901246,2)</f>
        <v>1.1599999999999999</v>
      </c>
      <c r="K1987" s="5">
        <f>ROUND(121696.31,0)</f>
        <v>121696</v>
      </c>
      <c r="L1987" s="7">
        <f>ROUND(0.0000422946611186793,4)</f>
        <v>0</v>
      </c>
    </row>
    <row r="1988" spans="1:12">
      <c r="A1988" s="3" t="s">
        <v>4087</v>
      </c>
      <c r="B1988" s="4" t="s">
        <v>4088</v>
      </c>
      <c r="C1988" s="4" t="s">
        <v>566</v>
      </c>
      <c r="D1988" s="4" t="s">
        <v>407</v>
      </c>
      <c r="E1988" s="4" t="s">
        <v>35</v>
      </c>
      <c r="F1988" s="4" t="s">
        <v>21</v>
      </c>
      <c r="G1988" s="4" t="s">
        <v>408</v>
      </c>
      <c r="H1988" s="5">
        <f>ROUND(2200,0)</f>
        <v>2200</v>
      </c>
      <c r="I1988" s="6">
        <f>ROUND(6.02,2)</f>
        <v>6.02</v>
      </c>
      <c r="J1988" s="6">
        <f>ROUND(9.08595,2)</f>
        <v>9.09</v>
      </c>
      <c r="K1988" s="5">
        <f>ROUND(120334.32,0)</f>
        <v>120334</v>
      </c>
      <c r="L1988" s="7">
        <f>ROUND(0.0000418213114707152,4)</f>
        <v>0</v>
      </c>
    </row>
    <row r="1989" spans="1:12">
      <c r="A1989" s="3" t="s">
        <v>4089</v>
      </c>
      <c r="B1989" s="4" t="s">
        <v>4090</v>
      </c>
      <c r="C1989" s="4" t="s">
        <v>406</v>
      </c>
      <c r="D1989" s="4" t="s">
        <v>456</v>
      </c>
      <c r="E1989" s="4" t="s">
        <v>457</v>
      </c>
      <c r="F1989" s="4" t="s">
        <v>26</v>
      </c>
      <c r="G1989" s="4" t="s">
        <v>408</v>
      </c>
      <c r="H1989" s="5">
        <f>ROUND(5000,0)</f>
        <v>5000</v>
      </c>
      <c r="I1989" s="6">
        <f>ROUND(20.75,2)</f>
        <v>20.75</v>
      </c>
      <c r="J1989" s="6">
        <f>ROUND(1.15901246,2)</f>
        <v>1.1599999999999999</v>
      </c>
      <c r="K1989" s="5">
        <f>ROUND(120247.54,0)</f>
        <v>120248</v>
      </c>
      <c r="L1989" s="7">
        <f>ROUND(0.0000417911517173761,4)</f>
        <v>0</v>
      </c>
    </row>
    <row r="1990" spans="1:12">
      <c r="A1990" s="3" t="s">
        <v>4091</v>
      </c>
      <c r="B1990" s="4" t="s">
        <v>4092</v>
      </c>
      <c r="C1990" s="4" t="s">
        <v>545</v>
      </c>
      <c r="D1990" s="4" t="s">
        <v>552</v>
      </c>
      <c r="E1990" s="4" t="s">
        <v>553</v>
      </c>
      <c r="F1990" s="4" t="s">
        <v>26</v>
      </c>
      <c r="G1990" s="4" t="s">
        <v>408</v>
      </c>
      <c r="H1990" s="5">
        <f>ROUND(56000,0)</f>
        <v>56000</v>
      </c>
      <c r="I1990" s="6">
        <f>ROUND(1.85,2)</f>
        <v>1.85</v>
      </c>
      <c r="J1990" s="6">
        <f>ROUND(1.15901246,2)</f>
        <v>1.1599999999999999</v>
      </c>
      <c r="K1990" s="5">
        <f>ROUND(120073.69,0)</f>
        <v>120074</v>
      </c>
      <c r="L1990" s="7">
        <f>ROUND(0.0000417307314233222,4)</f>
        <v>0</v>
      </c>
    </row>
    <row r="1991" spans="1:12">
      <c r="A1991" s="3" t="s">
        <v>4093</v>
      </c>
      <c r="B1991" s="4" t="s">
        <v>4094</v>
      </c>
      <c r="C1991" s="4" t="s">
        <v>389</v>
      </c>
      <c r="D1991" s="4" t="s">
        <v>407</v>
      </c>
      <c r="E1991" s="4" t="s">
        <v>35</v>
      </c>
      <c r="F1991" s="4" t="s">
        <v>21</v>
      </c>
      <c r="G1991" s="4" t="s">
        <v>408</v>
      </c>
      <c r="H1991" s="5">
        <f>ROUND(375,0)</f>
        <v>375</v>
      </c>
      <c r="I1991" s="6">
        <f>ROUND(35.1,2)</f>
        <v>35.1</v>
      </c>
      <c r="J1991" s="6">
        <f>ROUND(9.08595,2)</f>
        <v>9.09</v>
      </c>
      <c r="K1991" s="5">
        <f>ROUND(119593.82,0)</f>
        <v>119594</v>
      </c>
      <c r="L1991" s="7">
        <f>ROUND(0.0000415639561198555,4)</f>
        <v>0</v>
      </c>
    </row>
    <row r="1992" spans="1:12">
      <c r="A1992" s="3" t="s">
        <v>4095</v>
      </c>
      <c r="B1992" s="4" t="s">
        <v>4096</v>
      </c>
      <c r="C1992" s="4" t="s">
        <v>534</v>
      </c>
      <c r="D1992" s="4" t="s">
        <v>456</v>
      </c>
      <c r="E1992" s="4" t="s">
        <v>457</v>
      </c>
      <c r="F1992" s="4" t="s">
        <v>26</v>
      </c>
      <c r="G1992" s="4" t="s">
        <v>408</v>
      </c>
      <c r="H1992" s="5">
        <f>ROUND(14000,0)</f>
        <v>14000</v>
      </c>
      <c r="I1992" s="6">
        <f>ROUND(7.37,2)</f>
        <v>7.37</v>
      </c>
      <c r="J1992" s="6">
        <f>ROUND(1.15901246,2)</f>
        <v>1.1599999999999999</v>
      </c>
      <c r="K1992" s="5">
        <f>ROUND(119586.91,0)</f>
        <v>119587</v>
      </c>
      <c r="L1992" s="7">
        <f>ROUND(0.0000415615545999711,4)</f>
        <v>0</v>
      </c>
    </row>
    <row r="1993" spans="1:12">
      <c r="A1993" s="3" t="s">
        <v>4097</v>
      </c>
      <c r="B1993" s="4" t="s">
        <v>4098</v>
      </c>
      <c r="C1993" s="4" t="s">
        <v>493</v>
      </c>
      <c r="D1993" s="4" t="s">
        <v>655</v>
      </c>
      <c r="E1993" s="4" t="s">
        <v>656</v>
      </c>
      <c r="F1993" s="4" t="s">
        <v>26</v>
      </c>
      <c r="G1993" s="4" t="s">
        <v>408</v>
      </c>
      <c r="H1993" s="5">
        <f>ROUND(23000,0)</f>
        <v>23000</v>
      </c>
      <c r="I1993" s="6">
        <f>ROUND(4.4,2)</f>
        <v>4.4000000000000004</v>
      </c>
      <c r="J1993" s="6">
        <f>ROUND(1.15901246,2)</f>
        <v>1.1599999999999999</v>
      </c>
      <c r="K1993" s="5">
        <f>ROUND(117292.06,0)</f>
        <v>117292</v>
      </c>
      <c r="L1993" s="7">
        <f>ROUND(0.0000407639962921785,4)</f>
        <v>0</v>
      </c>
    </row>
    <row r="1994" spans="1:12">
      <c r="A1994" s="3" t="s">
        <v>4099</v>
      </c>
      <c r="B1994" s="4" t="s">
        <v>4100</v>
      </c>
      <c r="C1994" s="4" t="s">
        <v>534</v>
      </c>
      <c r="D1994" s="4" t="s">
        <v>1217</v>
      </c>
      <c r="E1994" s="4" t="s">
        <v>1218</v>
      </c>
      <c r="F1994" s="4" t="s">
        <v>26</v>
      </c>
      <c r="G1994" s="4" t="s">
        <v>408</v>
      </c>
      <c r="H1994" s="5">
        <f>ROUND(16000,0)</f>
        <v>16000</v>
      </c>
      <c r="I1994" s="6">
        <f>ROUND(6.26,2)</f>
        <v>6.26</v>
      </c>
      <c r="J1994" s="6">
        <f>ROUND(1.15901246,2)</f>
        <v>1.1599999999999999</v>
      </c>
      <c r="K1994" s="5">
        <f>ROUND(116086.69,0)</f>
        <v>116087</v>
      </c>
      <c r="L1994" s="7">
        <f>ROUND(0.0000403450787779776,4)</f>
        <v>0</v>
      </c>
    </row>
    <row r="1995" spans="1:12">
      <c r="A1995" s="3" t="s">
        <v>4101</v>
      </c>
      <c r="B1995" s="4" t="s">
        <v>4102</v>
      </c>
      <c r="C1995" s="4" t="s">
        <v>566</v>
      </c>
      <c r="D1995" s="4" t="s">
        <v>407</v>
      </c>
      <c r="E1995" s="4" t="s">
        <v>35</v>
      </c>
      <c r="F1995" s="4" t="s">
        <v>21</v>
      </c>
      <c r="G1995" s="4" t="s">
        <v>408</v>
      </c>
      <c r="H1995" s="5">
        <f>ROUND(400,0)</f>
        <v>400</v>
      </c>
      <c r="I1995" s="6">
        <f>ROUND(31.59,2)</f>
        <v>31.59</v>
      </c>
      <c r="J1995" s="6">
        <f>ROUND(9.08595,2)</f>
        <v>9.09</v>
      </c>
      <c r="K1995" s="5">
        <f>ROUND(114810.06,0)</f>
        <v>114810</v>
      </c>
      <c r="L1995" s="7">
        <f>ROUND(0.000039901395372754,4)</f>
        <v>0</v>
      </c>
    </row>
    <row r="1996" spans="1:12">
      <c r="A1996" s="3" t="s">
        <v>4103</v>
      </c>
      <c r="B1996" s="4" t="s">
        <v>4104</v>
      </c>
      <c r="C1996" s="4" t="s">
        <v>400</v>
      </c>
      <c r="D1996" s="4" t="s">
        <v>496</v>
      </c>
      <c r="E1996" s="4" t="s">
        <v>497</v>
      </c>
      <c r="F1996" s="4" t="s">
        <v>18</v>
      </c>
      <c r="G1996" s="4" t="s">
        <v>408</v>
      </c>
      <c r="H1996" s="5">
        <f>ROUND(4197,0)</f>
        <v>4197</v>
      </c>
      <c r="I1996" s="6">
        <f>ROUND(2.724,2)</f>
        <v>2.72</v>
      </c>
      <c r="J1996" s="6">
        <f>ROUND(9.9055,2)</f>
        <v>9.91</v>
      </c>
      <c r="K1996" s="5">
        <f>ROUND(113245.92,0)</f>
        <v>113246</v>
      </c>
      <c r="L1996" s="7">
        <f>ROUND(0.0000393577899730326,4)</f>
        <v>0</v>
      </c>
    </row>
    <row r="1997" spans="1:12">
      <c r="A1997" s="3" t="s">
        <v>4105</v>
      </c>
      <c r="B1997" s="4" t="s">
        <v>4106</v>
      </c>
      <c r="C1997" s="4" t="s">
        <v>389</v>
      </c>
      <c r="D1997" s="4" t="s">
        <v>1217</v>
      </c>
      <c r="E1997" s="4" t="s">
        <v>1218</v>
      </c>
      <c r="F1997" s="4" t="s">
        <v>26</v>
      </c>
      <c r="G1997" s="4" t="s">
        <v>408</v>
      </c>
      <c r="H1997" s="5">
        <f>ROUND(12000,0)</f>
        <v>12000</v>
      </c>
      <c r="I1997" s="6">
        <f>ROUND(8,2)</f>
        <v>8</v>
      </c>
      <c r="J1997" s="6">
        <f>ROUND(1.15901246,2)</f>
        <v>1.1599999999999999</v>
      </c>
      <c r="K1997" s="5">
        <f>ROUND(111265.2,0)</f>
        <v>111265</v>
      </c>
      <c r="L1997" s="7">
        <f>ROUND(0.0000386694052457472,4)</f>
        <v>0</v>
      </c>
    </row>
    <row r="1998" spans="1:12">
      <c r="A1998" s="3" t="s">
        <v>4107</v>
      </c>
      <c r="B1998" s="4" t="s">
        <v>4108</v>
      </c>
      <c r="C1998" s="4" t="s">
        <v>430</v>
      </c>
      <c r="D1998" s="4" t="s">
        <v>407</v>
      </c>
      <c r="E1998" s="4" t="s">
        <v>35</v>
      </c>
      <c r="F1998" s="4" t="s">
        <v>21</v>
      </c>
      <c r="G1998" s="4" t="s">
        <v>408</v>
      </c>
      <c r="H1998" s="5">
        <f>ROUND(396,0)</f>
        <v>396</v>
      </c>
      <c r="I1998" s="6">
        <f>ROUND(30.79,2)</f>
        <v>30.79</v>
      </c>
      <c r="J1998" s="6">
        <f>ROUND(9.08595,2)</f>
        <v>9.09</v>
      </c>
      <c r="K1998" s="5">
        <f>ROUND(110783.53,0)</f>
        <v>110784</v>
      </c>
      <c r="L1998" s="7">
        <f>ROUND(0.0000385020043654655,4)</f>
        <v>0</v>
      </c>
    </row>
    <row r="1999" spans="1:12">
      <c r="A1999" s="3" t="s">
        <v>4109</v>
      </c>
      <c r="B1999" s="4" t="s">
        <v>4110</v>
      </c>
      <c r="C1999" s="4" t="s">
        <v>430</v>
      </c>
      <c r="D1999" s="4" t="s">
        <v>407</v>
      </c>
      <c r="E1999" s="4" t="s">
        <v>35</v>
      </c>
      <c r="F1999" s="4" t="s">
        <v>21</v>
      </c>
      <c r="G1999" s="4" t="s">
        <v>408</v>
      </c>
      <c r="H1999" s="5">
        <f>ROUND(450,0)</f>
        <v>450</v>
      </c>
      <c r="I1999" s="6">
        <f>ROUND(27.05,2)</f>
        <v>27.05</v>
      </c>
      <c r="J1999" s="6">
        <f>ROUND(9.08595,2)</f>
        <v>9.09</v>
      </c>
      <c r="K1999" s="5">
        <f>ROUND(110598.73,0)</f>
        <v>110599</v>
      </c>
      <c r="L1999" s="7">
        <f>ROUND(0.00003843777847912,4)</f>
        <v>0</v>
      </c>
    </row>
    <row r="2000" spans="1:12">
      <c r="A2000" s="3" t="s">
        <v>4111</v>
      </c>
      <c r="B2000" s="4" t="s">
        <v>4112</v>
      </c>
      <c r="C2000" s="4" t="s">
        <v>422</v>
      </c>
      <c r="D2000" s="4" t="s">
        <v>407</v>
      </c>
      <c r="E2000" s="4" t="s">
        <v>35</v>
      </c>
      <c r="F2000" s="4" t="s">
        <v>21</v>
      </c>
      <c r="G2000" s="4" t="s">
        <v>408</v>
      </c>
      <c r="H2000" s="5">
        <f>ROUND(230,0)</f>
        <v>230</v>
      </c>
      <c r="I2000" s="6">
        <f>ROUND(52.72,2)</f>
        <v>52.72</v>
      </c>
      <c r="J2000" s="6">
        <f>ROUND(9.08595,2)</f>
        <v>9.09</v>
      </c>
      <c r="K2000" s="5">
        <f>ROUND(110172.6,0)</f>
        <v>110173</v>
      </c>
      <c r="L2000" s="7">
        <f>ROUND(0.0000382896801190094,4)</f>
        <v>0</v>
      </c>
    </row>
    <row r="2001" spans="1:12">
      <c r="A2001" s="3" t="s">
        <v>4113</v>
      </c>
      <c r="B2001" s="4" t="s">
        <v>4114</v>
      </c>
      <c r="C2001" s="4" t="s">
        <v>534</v>
      </c>
      <c r="D2001" s="4" t="s">
        <v>456</v>
      </c>
      <c r="E2001" s="4" t="s">
        <v>457</v>
      </c>
      <c r="F2001" s="4" t="s">
        <v>26</v>
      </c>
      <c r="G2001" s="4" t="s">
        <v>408</v>
      </c>
      <c r="H2001" s="5">
        <f>ROUND(4137,0)</f>
        <v>4137</v>
      </c>
      <c r="I2001" s="6">
        <f>ROUND(22.6,2)</f>
        <v>22.6</v>
      </c>
      <c r="J2001" s="6">
        <f>ROUND(1.15901246,2)</f>
        <v>1.1599999999999999</v>
      </c>
      <c r="K2001" s="5">
        <f>ROUND(108363.26,0)</f>
        <v>108363</v>
      </c>
      <c r="L2001" s="7">
        <f>ROUND(0.0000376608572553707,4)</f>
        <v>0</v>
      </c>
    </row>
    <row r="2002" spans="1:12">
      <c r="A2002" s="3" t="s">
        <v>4115</v>
      </c>
      <c r="B2002" s="4" t="s">
        <v>4116</v>
      </c>
      <c r="C2002" s="4" t="s">
        <v>415</v>
      </c>
      <c r="D2002" s="4" t="s">
        <v>577</v>
      </c>
      <c r="E2002" s="4" t="s">
        <v>578</v>
      </c>
      <c r="F2002" s="4" t="s">
        <v>18</v>
      </c>
      <c r="G2002" s="4" t="s">
        <v>408</v>
      </c>
      <c r="H2002" s="5">
        <f>ROUND(2269,0)</f>
        <v>2269</v>
      </c>
      <c r="I2002" s="6">
        <f>ROUND(4.8,2)</f>
        <v>4.8</v>
      </c>
      <c r="J2002" s="6">
        <f>ROUND(9.9055,2)</f>
        <v>9.91</v>
      </c>
      <c r="K2002" s="5">
        <f>ROUND(107882.78,0)</f>
        <v>107883</v>
      </c>
      <c r="L2002" s="7">
        <f>ROUND(0.0000374938699508723,4)</f>
        <v>0</v>
      </c>
    </row>
    <row r="2003" spans="1:12">
      <c r="A2003" s="3" t="s">
        <v>4117</v>
      </c>
      <c r="B2003" s="4" t="s">
        <v>4118</v>
      </c>
      <c r="C2003" s="4" t="s">
        <v>430</v>
      </c>
      <c r="D2003" s="4" t="s">
        <v>4119</v>
      </c>
      <c r="E2003" s="4" t="s">
        <v>4120</v>
      </c>
      <c r="F2003" s="4" t="s">
        <v>21</v>
      </c>
      <c r="G2003" s="4" t="s">
        <v>408</v>
      </c>
      <c r="H2003" s="5">
        <f>ROUND(1272,0)</f>
        <v>1272</v>
      </c>
      <c r="I2003" s="6">
        <f>ROUND(9.25,2)</f>
        <v>9.25</v>
      </c>
      <c r="J2003" s="6">
        <f>ROUND(9.08595,2)</f>
        <v>9.09</v>
      </c>
      <c r="K2003" s="5">
        <f>ROUND(106905.29,0)</f>
        <v>106905</v>
      </c>
      <c r="L2003" s="7">
        <f>ROUND(0.0000371541504614572,4)</f>
        <v>0</v>
      </c>
    </row>
    <row r="2004" spans="1:12">
      <c r="A2004" s="3" t="s">
        <v>4121</v>
      </c>
      <c r="B2004" s="4" t="s">
        <v>4122</v>
      </c>
      <c r="C2004" s="4" t="s">
        <v>415</v>
      </c>
      <c r="D2004" s="4" t="s">
        <v>456</v>
      </c>
      <c r="E2004" s="4" t="s">
        <v>457</v>
      </c>
      <c r="F2004" s="4" t="s">
        <v>21</v>
      </c>
      <c r="G2004" s="4" t="s">
        <v>408</v>
      </c>
      <c r="H2004" s="5">
        <f>ROUND(300,0)</f>
        <v>300</v>
      </c>
      <c r="I2004" s="6">
        <f>ROUND(39.19,2)</f>
        <v>39.19</v>
      </c>
      <c r="J2004" s="6">
        <f>ROUND(9.08595,2)</f>
        <v>9.09</v>
      </c>
      <c r="K2004" s="5">
        <f>ROUND(106823.51,0)</f>
        <v>106824</v>
      </c>
      <c r="L2004" s="7">
        <f>ROUND(0.0000371257284214932,4)</f>
        <v>0</v>
      </c>
    </row>
    <row r="2005" spans="1:12">
      <c r="A2005" s="3" t="s">
        <v>4123</v>
      </c>
      <c r="B2005" s="4" t="s">
        <v>4124</v>
      </c>
      <c r="C2005" s="4" t="s">
        <v>545</v>
      </c>
      <c r="D2005" s="4" t="s">
        <v>1217</v>
      </c>
      <c r="E2005" s="4" t="s">
        <v>1218</v>
      </c>
      <c r="F2005" s="4" t="s">
        <v>26</v>
      </c>
      <c r="G2005" s="4" t="s">
        <v>408</v>
      </c>
      <c r="H2005" s="5">
        <f>ROUND(34000,0)</f>
        <v>34000</v>
      </c>
      <c r="I2005" s="6">
        <f>ROUND(2.71,2)</f>
        <v>2.71</v>
      </c>
      <c r="J2005" s="6">
        <f>ROUND(1.15901246,2)</f>
        <v>1.1599999999999999</v>
      </c>
      <c r="K2005" s="5">
        <f>ROUND(106791.41,0)</f>
        <v>106791</v>
      </c>
      <c r="L2005" s="7">
        <f>ROUND(0.0000371145723016248,4)</f>
        <v>0</v>
      </c>
    </row>
    <row r="2006" spans="1:12">
      <c r="A2006" s="3" t="s">
        <v>4125</v>
      </c>
      <c r="B2006" s="4" t="s">
        <v>4126</v>
      </c>
      <c r="C2006" s="4" t="s">
        <v>400</v>
      </c>
      <c r="D2006" s="4" t="s">
        <v>3627</v>
      </c>
      <c r="E2006" s="4" t="s">
        <v>3628</v>
      </c>
      <c r="F2006" s="4" t="s">
        <v>3629</v>
      </c>
      <c r="G2006" s="4" t="s">
        <v>408</v>
      </c>
      <c r="H2006" s="5">
        <f>ROUND(3775,0)</f>
        <v>3775</v>
      </c>
      <c r="I2006" s="6">
        <f>ROUND(72.95,2)</f>
        <v>72.95</v>
      </c>
      <c r="J2006" s="6">
        <f>ROUND(0.38369616,2)</f>
        <v>0.38</v>
      </c>
      <c r="K2006" s="5">
        <f>ROUND(105664.65,0)</f>
        <v>105665</v>
      </c>
      <c r="L2006" s="7">
        <f>ROUND(0.000036722975117108,4)</f>
        <v>0</v>
      </c>
    </row>
    <row r="2007" spans="1:12">
      <c r="A2007" s="3" t="s">
        <v>4127</v>
      </c>
      <c r="B2007" s="4" t="s">
        <v>4128</v>
      </c>
      <c r="C2007" s="4" t="s">
        <v>493</v>
      </c>
      <c r="D2007" s="4" t="s">
        <v>4119</v>
      </c>
      <c r="E2007" s="4" t="s">
        <v>4120</v>
      </c>
      <c r="F2007" s="4" t="s">
        <v>21</v>
      </c>
      <c r="G2007" s="4" t="s">
        <v>408</v>
      </c>
      <c r="H2007" s="5">
        <f>ROUND(666,0)</f>
        <v>666</v>
      </c>
      <c r="I2007" s="6">
        <f>ROUND(17.36,2)</f>
        <v>17.36</v>
      </c>
      <c r="J2007" s="6">
        <f>ROUND(9.08595,2)</f>
        <v>9.09</v>
      </c>
      <c r="K2007" s="5">
        <f>ROUND(105049.57,0)</f>
        <v>105050</v>
      </c>
      <c r="L2007" s="7">
        <f>ROUND(0.0000365092085685505,4)</f>
        <v>0</v>
      </c>
    </row>
    <row r="2008" spans="1:12">
      <c r="A2008" s="3" t="s">
        <v>4129</v>
      </c>
      <c r="B2008" s="4" t="s">
        <v>4130</v>
      </c>
      <c r="C2008" s="4" t="s">
        <v>400</v>
      </c>
      <c r="D2008" s="4" t="s">
        <v>4119</v>
      </c>
      <c r="E2008" s="4" t="s">
        <v>4120</v>
      </c>
      <c r="F2008" s="4" t="s">
        <v>21</v>
      </c>
      <c r="G2008" s="4" t="s">
        <v>408</v>
      </c>
      <c r="H2008" s="5">
        <f>ROUND(443,0)</f>
        <v>443</v>
      </c>
      <c r="I2008" s="6">
        <f>ROUND(26.02,2)</f>
        <v>26.02</v>
      </c>
      <c r="J2008" s="6">
        <f>ROUND(9.08595,2)</f>
        <v>9.09</v>
      </c>
      <c r="K2008" s="5">
        <f>ROUND(104732.47,0)</f>
        <v>104732</v>
      </c>
      <c r="L2008" s="7">
        <f>ROUND(0.0000363990027862985,4)</f>
        <v>0</v>
      </c>
    </row>
    <row r="2009" spans="1:12">
      <c r="A2009" s="3" t="s">
        <v>4131</v>
      </c>
      <c r="B2009" s="4" t="s">
        <v>4132</v>
      </c>
      <c r="C2009" s="4" t="s">
        <v>400</v>
      </c>
      <c r="D2009" s="4" t="s">
        <v>655</v>
      </c>
      <c r="E2009" s="4" t="s">
        <v>656</v>
      </c>
      <c r="F2009" s="4" t="s">
        <v>26</v>
      </c>
      <c r="G2009" s="4" t="s">
        <v>408</v>
      </c>
      <c r="H2009" s="5">
        <f>ROUND(2900,0)</f>
        <v>2900</v>
      </c>
      <c r="I2009" s="6">
        <f>ROUND(31,2)</f>
        <v>31</v>
      </c>
      <c r="J2009" s="6">
        <f>ROUND(1.15901246,2)</f>
        <v>1.1599999999999999</v>
      </c>
      <c r="K2009" s="5">
        <f>ROUND(104195.22,0)</f>
        <v>104195</v>
      </c>
      <c r="L2009" s="7">
        <f>ROUND(0.0000362122854841387,4)</f>
        <v>0</v>
      </c>
    </row>
    <row r="2010" spans="1:12">
      <c r="A2010" s="3" t="s">
        <v>4133</v>
      </c>
      <c r="B2010" s="4" t="s">
        <v>4134</v>
      </c>
      <c r="C2010" s="4" t="s">
        <v>389</v>
      </c>
      <c r="D2010" s="4" t="s">
        <v>423</v>
      </c>
      <c r="E2010" s="4" t="s">
        <v>25</v>
      </c>
      <c r="F2010" s="4" t="s">
        <v>16</v>
      </c>
      <c r="G2010" s="4" t="s">
        <v>408</v>
      </c>
      <c r="H2010" s="5">
        <f>ROUND(43,0)</f>
        <v>43</v>
      </c>
      <c r="I2010" s="6">
        <f>ROUND(264.9,2)</f>
        <v>264.89999999999998</v>
      </c>
      <c r="J2010" s="6">
        <f>ROUND(9.11185723,2)</f>
        <v>9.11</v>
      </c>
      <c r="K2010" s="5">
        <f>ROUND(103790.43,0)</f>
        <v>103790</v>
      </c>
      <c r="L2010" s="7">
        <f>ROUND(0.0000360716036847133,4)</f>
        <v>0</v>
      </c>
    </row>
    <row r="2011" spans="1:12">
      <c r="A2011" s="3" t="s">
        <v>4135</v>
      </c>
      <c r="B2011" s="4" t="s">
        <v>4136</v>
      </c>
      <c r="C2011" s="4" t="s">
        <v>545</v>
      </c>
      <c r="D2011" s="4" t="s">
        <v>514</v>
      </c>
      <c r="E2011" s="4" t="s">
        <v>515</v>
      </c>
      <c r="F2011" s="4" t="s">
        <v>190</v>
      </c>
      <c r="G2011" s="4" t="s">
        <v>408</v>
      </c>
      <c r="H2011" s="5">
        <f>ROUND(24062,0)</f>
        <v>24062</v>
      </c>
      <c r="I2011" s="6">
        <f>ROUND(0.62,2)</f>
        <v>0.62</v>
      </c>
      <c r="J2011" s="6">
        <f>ROUND(6.86237833,2)</f>
        <v>6.86</v>
      </c>
      <c r="K2011" s="5">
        <f>ROUND(102375.98,0)</f>
        <v>102376</v>
      </c>
      <c r="L2011" s="7">
        <f>ROUND(0.0000355800219480171,4)</f>
        <v>0</v>
      </c>
    </row>
    <row r="2012" spans="1:12">
      <c r="A2012" s="3" t="s">
        <v>4137</v>
      </c>
      <c r="B2012" s="4" t="s">
        <v>4138</v>
      </c>
      <c r="C2012" s="4" t="s">
        <v>430</v>
      </c>
      <c r="D2012" s="4" t="s">
        <v>2277</v>
      </c>
      <c r="E2012" s="4" t="s">
        <v>2278</v>
      </c>
      <c r="F2012" s="4" t="s">
        <v>38</v>
      </c>
      <c r="G2012" s="4" t="s">
        <v>408</v>
      </c>
      <c r="H2012" s="5">
        <f>ROUND(443,0)</f>
        <v>443</v>
      </c>
      <c r="I2012" s="6">
        <f>ROUND(143.5,2)</f>
        <v>143.5</v>
      </c>
      <c r="J2012" s="6">
        <f>ROUND(1.60912955,2)</f>
        <v>1.61</v>
      </c>
      <c r="K2012" s="5">
        <f>ROUND(102293.17,0)</f>
        <v>102293</v>
      </c>
      <c r="L2012" s="7">
        <f>ROUND(0.0000355512419390979,4)</f>
        <v>0</v>
      </c>
    </row>
    <row r="2013" spans="1:12">
      <c r="A2013" s="3" t="s">
        <v>4139</v>
      </c>
      <c r="B2013" s="4" t="s">
        <v>4140</v>
      </c>
      <c r="C2013" s="4" t="s">
        <v>415</v>
      </c>
      <c r="D2013" s="4" t="s">
        <v>456</v>
      </c>
      <c r="E2013" s="4" t="s">
        <v>457</v>
      </c>
      <c r="F2013" s="4" t="s">
        <v>21</v>
      </c>
      <c r="G2013" s="4" t="s">
        <v>408</v>
      </c>
      <c r="H2013" s="5">
        <f>ROUND(200,0)</f>
        <v>200</v>
      </c>
      <c r="I2013" s="6">
        <f>ROUND(56.23,2)</f>
        <v>56.23</v>
      </c>
      <c r="J2013" s="6">
        <f>ROUND(9.08595,2)</f>
        <v>9.09</v>
      </c>
      <c r="K2013" s="5">
        <f>ROUND(102180.59,0)</f>
        <v>102181</v>
      </c>
      <c r="L2013" s="7">
        <f>ROUND(0.000035512115584743,4)</f>
        <v>0</v>
      </c>
    </row>
    <row r="2014" spans="1:12">
      <c r="A2014" s="3" t="s">
        <v>4141</v>
      </c>
      <c r="B2014" s="4" t="s">
        <v>4142</v>
      </c>
      <c r="C2014" s="4" t="s">
        <v>400</v>
      </c>
      <c r="D2014" s="4" t="s">
        <v>2277</v>
      </c>
      <c r="E2014" s="4" t="s">
        <v>2278</v>
      </c>
      <c r="F2014" s="4" t="s">
        <v>38</v>
      </c>
      <c r="G2014" s="4" t="s">
        <v>408</v>
      </c>
      <c r="H2014" s="5">
        <f>ROUND(26100,0)</f>
        <v>26100</v>
      </c>
      <c r="I2014" s="6">
        <f>ROUND(2.41,2)</f>
        <v>2.41</v>
      </c>
      <c r="J2014" s="6">
        <f>ROUND(1.60912955,2)</f>
        <v>1.61</v>
      </c>
      <c r="K2014" s="5">
        <f>ROUND(101215.86,0)</f>
        <v>101216</v>
      </c>
      <c r="L2014" s="7">
        <f>ROUND(0.0000351768307398613,4)</f>
        <v>0</v>
      </c>
    </row>
    <row r="2015" spans="1:12">
      <c r="A2015" s="3" t="s">
        <v>4143</v>
      </c>
      <c r="B2015" s="4" t="s">
        <v>4144</v>
      </c>
      <c r="C2015" s="4" t="s">
        <v>445</v>
      </c>
      <c r="D2015" s="4" t="s">
        <v>486</v>
      </c>
      <c r="E2015" s="4" t="s">
        <v>30</v>
      </c>
      <c r="F2015" s="4" t="s">
        <v>20</v>
      </c>
      <c r="G2015" s="4" t="s">
        <v>408</v>
      </c>
      <c r="H2015" s="5">
        <f>ROUND(2704,0)</f>
        <v>2704</v>
      </c>
      <c r="I2015" s="6">
        <f>ROUND(331.2,2)</f>
        <v>331.2</v>
      </c>
      <c r="J2015" s="6">
        <f>ROUND(11.19645077,2)</f>
        <v>11.2</v>
      </c>
      <c r="K2015" s="5">
        <f>ROUND(100271.49,0)</f>
        <v>100271</v>
      </c>
      <c r="L2015" s="7">
        <f>ROUND(0.0000348486218638432,4)</f>
        <v>0</v>
      </c>
    </row>
    <row r="2016" spans="1:12">
      <c r="A2016" s="3" t="s">
        <v>4145</v>
      </c>
      <c r="B2016" s="4" t="s">
        <v>4146</v>
      </c>
      <c r="C2016" s="4" t="s">
        <v>422</v>
      </c>
      <c r="D2016" s="4" t="s">
        <v>739</v>
      </c>
      <c r="E2016" s="4" t="s">
        <v>740</v>
      </c>
      <c r="F2016" s="4" t="s">
        <v>741</v>
      </c>
      <c r="G2016" s="4" t="s">
        <v>408</v>
      </c>
      <c r="H2016" s="5">
        <f>ROUND(196,0)</f>
        <v>196</v>
      </c>
      <c r="I2016" s="6">
        <f>ROUND(65400,2)</f>
        <v>65400</v>
      </c>
      <c r="J2016" s="6">
        <f>ROUND(0.00759599,2)</f>
        <v>0.01</v>
      </c>
      <c r="K2016" s="5">
        <f>ROUND(97368.44,0)</f>
        <v>97368</v>
      </c>
      <c r="L2016" s="7">
        <f>ROUND(0.0000338396881010974,4)</f>
        <v>0</v>
      </c>
    </row>
    <row r="2017" spans="1:12">
      <c r="A2017" s="3" t="s">
        <v>4147</v>
      </c>
      <c r="B2017" s="4" t="s">
        <v>4148</v>
      </c>
      <c r="C2017" s="4" t="s">
        <v>445</v>
      </c>
      <c r="D2017" s="4" t="s">
        <v>407</v>
      </c>
      <c r="E2017" s="4" t="s">
        <v>35</v>
      </c>
      <c r="F2017" s="4" t="s">
        <v>21</v>
      </c>
      <c r="G2017" s="4" t="s">
        <v>408</v>
      </c>
      <c r="H2017" s="5">
        <f>ROUND(600,0)</f>
        <v>600</v>
      </c>
      <c r="I2017" s="6">
        <f>ROUND(17.82,2)</f>
        <v>17.82</v>
      </c>
      <c r="J2017" s="6">
        <f>ROUND(9.08595,2)</f>
        <v>9.09</v>
      </c>
      <c r="K2017" s="5">
        <f>ROUND(97146.98,0)</f>
        <v>97147</v>
      </c>
      <c r="L2017" s="7">
        <f>ROUND(0.0000337627213002852,4)</f>
        <v>0</v>
      </c>
    </row>
    <row r="2018" spans="1:12">
      <c r="A2018" s="3" t="s">
        <v>4149</v>
      </c>
      <c r="B2018" s="4" t="s">
        <v>4150</v>
      </c>
      <c r="C2018" s="4" t="s">
        <v>415</v>
      </c>
      <c r="D2018" s="4" t="s">
        <v>541</v>
      </c>
      <c r="E2018" s="4" t="s">
        <v>542</v>
      </c>
      <c r="F2018" s="4" t="s">
        <v>18</v>
      </c>
      <c r="G2018" s="4" t="s">
        <v>408</v>
      </c>
      <c r="H2018" s="5">
        <f>ROUND(342,0)</f>
        <v>342</v>
      </c>
      <c r="I2018" s="6">
        <f>ROUND(28.6,2)</f>
        <v>28.6</v>
      </c>
      <c r="J2018" s="6">
        <f>ROUND(9.9055,2)</f>
        <v>9.91</v>
      </c>
      <c r="K2018" s="5">
        <f>ROUND(96887.68,0)</f>
        <v>96888</v>
      </c>
      <c r="L2018" s="7">
        <f>ROUND(0.00003367260348465,4)</f>
        <v>0</v>
      </c>
    </row>
    <row r="2019" spans="1:12">
      <c r="A2019" s="3" t="s">
        <v>4151</v>
      </c>
      <c r="B2019" s="4" t="s">
        <v>4152</v>
      </c>
      <c r="C2019" s="4" t="s">
        <v>415</v>
      </c>
      <c r="D2019" s="4" t="s">
        <v>520</v>
      </c>
      <c r="E2019" s="4" t="s">
        <v>521</v>
      </c>
      <c r="F2019" s="4" t="s">
        <v>18</v>
      </c>
      <c r="G2019" s="4" t="s">
        <v>408</v>
      </c>
      <c r="H2019" s="5">
        <f>ROUND(113,0)</f>
        <v>113</v>
      </c>
      <c r="I2019" s="6">
        <f>ROUND(86.22,2)</f>
        <v>86.22</v>
      </c>
      <c r="J2019" s="6">
        <f>ROUND(9.9055,2)</f>
        <v>9.91</v>
      </c>
      <c r="K2019" s="5">
        <f>ROUND(96507.9,0)</f>
        <v>96508</v>
      </c>
      <c r="L2019" s="7">
        <f>ROUND(0.0000335406137275271,4)</f>
        <v>0</v>
      </c>
    </row>
    <row r="2020" spans="1:12">
      <c r="A2020" s="3" t="s">
        <v>4153</v>
      </c>
      <c r="B2020" s="4" t="s">
        <v>4154</v>
      </c>
      <c r="C2020" s="4" t="s">
        <v>445</v>
      </c>
      <c r="D2020" s="4" t="s">
        <v>717</v>
      </c>
      <c r="E2020" s="4" t="s">
        <v>718</v>
      </c>
      <c r="F2020" s="4" t="s">
        <v>175</v>
      </c>
      <c r="G2020" s="4" t="s">
        <v>408</v>
      </c>
      <c r="H2020" s="5">
        <f>ROUND(7015,0)</f>
        <v>7015</v>
      </c>
      <c r="I2020" s="6">
        <f>ROUND(2268,2)</f>
        <v>2268</v>
      </c>
      <c r="J2020" s="6">
        <f>ROUND(0.59923836,2)</f>
        <v>0.6</v>
      </c>
      <c r="K2020" s="5">
        <f>ROUND(95338.94,0)</f>
        <v>95339</v>
      </c>
      <c r="L2020" s="7">
        <f>ROUND(0.000033134350242124,4)</f>
        <v>0</v>
      </c>
    </row>
    <row r="2021" spans="1:12">
      <c r="A2021" s="3" t="s">
        <v>4155</v>
      </c>
      <c r="B2021" s="4" t="s">
        <v>4156</v>
      </c>
      <c r="C2021" s="4" t="s">
        <v>545</v>
      </c>
      <c r="D2021" s="4" t="s">
        <v>655</v>
      </c>
      <c r="E2021" s="4" t="s">
        <v>656</v>
      </c>
      <c r="F2021" s="4" t="s">
        <v>26</v>
      </c>
      <c r="G2021" s="4" t="s">
        <v>408</v>
      </c>
      <c r="H2021" s="5">
        <f>ROUND(36000,0)</f>
        <v>36000</v>
      </c>
      <c r="I2021" s="6">
        <f>ROUND(2.28,2)</f>
        <v>2.2799999999999998</v>
      </c>
      <c r="J2021" s="6">
        <f>ROUND(1.15901246,2)</f>
        <v>1.1599999999999999</v>
      </c>
      <c r="K2021" s="5">
        <f>ROUND(95131.74,0)</f>
        <v>95132</v>
      </c>
      <c r="L2021" s="7">
        <f>ROUND(0.0000330623393998578,4)</f>
        <v>0</v>
      </c>
    </row>
    <row r="2022" spans="1:12">
      <c r="A2022" s="3" t="s">
        <v>4157</v>
      </c>
      <c r="B2022" s="4" t="s">
        <v>4158</v>
      </c>
      <c r="C2022" s="4" t="s">
        <v>400</v>
      </c>
      <c r="D2022" s="4" t="s">
        <v>2277</v>
      </c>
      <c r="E2022" s="4" t="s">
        <v>2278</v>
      </c>
      <c r="F2022" s="4" t="s">
        <v>38</v>
      </c>
      <c r="G2022" s="4" t="s">
        <v>408</v>
      </c>
      <c r="H2022" s="5">
        <f>ROUND(9360,0)</f>
        <v>9360</v>
      </c>
      <c r="I2022" s="6">
        <f>ROUND(6.27,2)</f>
        <v>6.27</v>
      </c>
      <c r="J2022" s="6">
        <f>ROUND(1.60912955,2)</f>
        <v>1.61</v>
      </c>
      <c r="K2022" s="5">
        <f>ROUND(94435.31,0)</f>
        <v>94435</v>
      </c>
      <c r="L2022" s="7">
        <f>ROUND(0.0000328203002546867,4)</f>
        <v>0</v>
      </c>
    </row>
    <row r="2023" spans="1:12">
      <c r="A2023" s="3" t="s">
        <v>4159</v>
      </c>
      <c r="B2023" s="4" t="s">
        <v>4160</v>
      </c>
      <c r="C2023" s="4" t="s">
        <v>406</v>
      </c>
      <c r="D2023" s="4" t="s">
        <v>655</v>
      </c>
      <c r="E2023" s="4" t="s">
        <v>656</v>
      </c>
      <c r="F2023" s="4" t="s">
        <v>26</v>
      </c>
      <c r="G2023" s="4" t="s">
        <v>408</v>
      </c>
      <c r="H2023" s="5">
        <f>ROUND(5000,0)</f>
        <v>5000</v>
      </c>
      <c r="I2023" s="6">
        <f>ROUND(16.28,2)</f>
        <v>16.28</v>
      </c>
      <c r="J2023" s="6">
        <f>ROUND(1.15901246,2)</f>
        <v>1.1599999999999999</v>
      </c>
      <c r="K2023" s="5">
        <f>ROUND(94343.61,0)</f>
        <v>94344</v>
      </c>
      <c r="L2023" s="7">
        <f>ROUND(0.0000327884305913864,4)</f>
        <v>0</v>
      </c>
    </row>
    <row r="2024" spans="1:12">
      <c r="A2024" s="3" t="s">
        <v>4161</v>
      </c>
      <c r="B2024" s="4" t="s">
        <v>4162</v>
      </c>
      <c r="C2024" s="4" t="s">
        <v>534</v>
      </c>
      <c r="D2024" s="4" t="s">
        <v>655</v>
      </c>
      <c r="E2024" s="4" t="s">
        <v>656</v>
      </c>
      <c r="F2024" s="4" t="s">
        <v>26</v>
      </c>
      <c r="G2024" s="4" t="s">
        <v>408</v>
      </c>
      <c r="H2024" s="5">
        <f>ROUND(12000,0)</f>
        <v>12000</v>
      </c>
      <c r="I2024" s="6">
        <f>ROUND(6.78,2)</f>
        <v>6.78</v>
      </c>
      <c r="J2024" s="6">
        <f>ROUND(1.15901246,2)</f>
        <v>1.1599999999999999</v>
      </c>
      <c r="K2024" s="5">
        <f>ROUND(94297.25,0)</f>
        <v>94297</v>
      </c>
      <c r="L2024" s="7">
        <f>ROUND(0.000032772318512972,4)</f>
        <v>0</v>
      </c>
    </row>
    <row r="2025" spans="1:12">
      <c r="A2025" s="3" t="s">
        <v>4163</v>
      </c>
      <c r="B2025" s="4" t="s">
        <v>4164</v>
      </c>
      <c r="C2025" s="4" t="s">
        <v>534</v>
      </c>
      <c r="D2025" s="4" t="s">
        <v>655</v>
      </c>
      <c r="E2025" s="4" t="s">
        <v>656</v>
      </c>
      <c r="F2025" s="4" t="s">
        <v>26</v>
      </c>
      <c r="G2025" s="4" t="s">
        <v>408</v>
      </c>
      <c r="H2025" s="5">
        <f>ROUND(32000,0)</f>
        <v>32000</v>
      </c>
      <c r="I2025" s="6">
        <f>ROUND(2.53,2)</f>
        <v>2.5299999999999998</v>
      </c>
      <c r="J2025" s="6">
        <f>ROUND(1.15901246,2)</f>
        <v>1.1599999999999999</v>
      </c>
      <c r="K2025" s="5">
        <f>ROUND(93833.65,0)</f>
        <v>93834</v>
      </c>
      <c r="L2025" s="7">
        <f>ROUND(0.0000326111977288281,4)</f>
        <v>0</v>
      </c>
    </row>
    <row r="2026" spans="1:12">
      <c r="A2026" s="3" t="s">
        <v>4165</v>
      </c>
      <c r="B2026" s="4" t="s">
        <v>4166</v>
      </c>
      <c r="C2026" s="4" t="s">
        <v>389</v>
      </c>
      <c r="D2026" s="4" t="s">
        <v>456</v>
      </c>
      <c r="E2026" s="4" t="s">
        <v>457</v>
      </c>
      <c r="F2026" s="4" t="s">
        <v>21</v>
      </c>
      <c r="G2026" s="4" t="s">
        <v>408</v>
      </c>
      <c r="H2026" s="5">
        <f>ROUND(6607,0)</f>
        <v>6607</v>
      </c>
      <c r="I2026" s="6">
        <f>ROUND(1.56,2)</f>
        <v>1.56</v>
      </c>
      <c r="J2026" s="6">
        <f>ROUND(9.08595,2)</f>
        <v>9.09</v>
      </c>
      <c r="K2026" s="5">
        <f>ROUND(93648.16,0)</f>
        <v>93648</v>
      </c>
      <c r="L2026" s="7">
        <f>ROUND(0.0000325467320380368,4)</f>
        <v>0</v>
      </c>
    </row>
    <row r="2027" spans="1:12">
      <c r="A2027" s="3" t="s">
        <v>4167</v>
      </c>
      <c r="B2027" s="4" t="s">
        <v>4168</v>
      </c>
      <c r="C2027" s="4" t="s">
        <v>389</v>
      </c>
      <c r="D2027" s="4" t="s">
        <v>407</v>
      </c>
      <c r="E2027" s="4" t="s">
        <v>35</v>
      </c>
      <c r="F2027" s="4" t="s">
        <v>21</v>
      </c>
      <c r="G2027" s="4" t="s">
        <v>408</v>
      </c>
      <c r="H2027" s="5">
        <f>ROUND(668,0)</f>
        <v>668</v>
      </c>
      <c r="I2027" s="6">
        <f>ROUND(14.99,2)</f>
        <v>14.99</v>
      </c>
      <c r="J2027" s="6">
        <f>ROUND(9.08595,2)</f>
        <v>9.09</v>
      </c>
      <c r="K2027" s="5">
        <f>ROUND(90980.52,0)</f>
        <v>90981</v>
      </c>
      <c r="L2027" s="7">
        <f>ROUND(0.0000316196132964198,4)</f>
        <v>0</v>
      </c>
    </row>
    <row r="2028" spans="1:12">
      <c r="A2028" s="3" t="s">
        <v>4169</v>
      </c>
      <c r="B2028" s="4" t="s">
        <v>4170</v>
      </c>
      <c r="C2028" s="4" t="s">
        <v>445</v>
      </c>
      <c r="D2028" s="4" t="s">
        <v>739</v>
      </c>
      <c r="E2028" s="4" t="s">
        <v>740</v>
      </c>
      <c r="F2028" s="4" t="s">
        <v>741</v>
      </c>
      <c r="G2028" s="4" t="s">
        <v>408</v>
      </c>
      <c r="H2028" s="5">
        <f>ROUND(235,0)</f>
        <v>235</v>
      </c>
      <c r="I2028" s="6">
        <f>ROUND(50400,2)</f>
        <v>50400</v>
      </c>
      <c r="J2028" s="6">
        <f>ROUND(0.00759599,2)</f>
        <v>0.01</v>
      </c>
      <c r="K2028" s="5">
        <f>ROUND(89966.91,0)</f>
        <v>89967</v>
      </c>
      <c r="L2028" s="7">
        <f>ROUND(0.0000312673405655826,4)</f>
        <v>0</v>
      </c>
    </row>
    <row r="2029" spans="1:12">
      <c r="A2029" s="3" t="s">
        <v>4171</v>
      </c>
      <c r="B2029" s="4" t="s">
        <v>4172</v>
      </c>
      <c r="C2029" s="4" t="s">
        <v>389</v>
      </c>
      <c r="D2029" s="4" t="s">
        <v>717</v>
      </c>
      <c r="E2029" s="4" t="s">
        <v>718</v>
      </c>
      <c r="F2029" s="4" t="s">
        <v>175</v>
      </c>
      <c r="G2029" s="4" t="s">
        <v>408</v>
      </c>
      <c r="H2029" s="5">
        <f>ROUND(2811,0)</f>
        <v>2811</v>
      </c>
      <c r="I2029" s="6">
        <f>ROUND(5300,2)</f>
        <v>5300</v>
      </c>
      <c r="J2029" s="6">
        <f>ROUND(0.59923836,2)</f>
        <v>0.6</v>
      </c>
      <c r="K2029" s="5">
        <f>ROUND(89276.33,0)</f>
        <v>89276</v>
      </c>
      <c r="L2029" s="7">
        <f>ROUND(0.0000310273345450604,4)</f>
        <v>0</v>
      </c>
    </row>
    <row r="2030" spans="1:12">
      <c r="A2030" s="3" t="s">
        <v>4173</v>
      </c>
      <c r="B2030" s="4" t="s">
        <v>4174</v>
      </c>
      <c r="C2030" s="4" t="s">
        <v>400</v>
      </c>
      <c r="D2030" s="4" t="s">
        <v>655</v>
      </c>
      <c r="E2030" s="4" t="s">
        <v>656</v>
      </c>
      <c r="F2030" s="4" t="s">
        <v>26</v>
      </c>
      <c r="G2030" s="4" t="s">
        <v>408</v>
      </c>
      <c r="H2030" s="5">
        <f>ROUND(9000,0)</f>
        <v>9000</v>
      </c>
      <c r="I2030" s="6">
        <f>ROUND(8.21,2)</f>
        <v>8.2100000000000009</v>
      </c>
      <c r="J2030" s="6">
        <f>ROUND(1.15901246,2)</f>
        <v>1.1599999999999999</v>
      </c>
      <c r="K2030" s="5">
        <f>ROUND(85639.43,0)</f>
        <v>85639</v>
      </c>
      <c r="L2030" s="7">
        <f>ROUND(0.0000297633565902438,4)</f>
        <v>0</v>
      </c>
    </row>
    <row r="2031" spans="1:12">
      <c r="A2031" s="3" t="s">
        <v>4175</v>
      </c>
      <c r="B2031" s="4" t="s">
        <v>4176</v>
      </c>
      <c r="C2031" s="4" t="s">
        <v>406</v>
      </c>
      <c r="D2031" s="4" t="s">
        <v>407</v>
      </c>
      <c r="E2031" s="4" t="s">
        <v>35</v>
      </c>
      <c r="F2031" s="4" t="s">
        <v>21</v>
      </c>
      <c r="G2031" s="4" t="s">
        <v>408</v>
      </c>
      <c r="H2031" s="5">
        <f>ROUND(800,0)</f>
        <v>800</v>
      </c>
      <c r="I2031" s="6">
        <f>ROUND(11.76,2)</f>
        <v>11.76</v>
      </c>
      <c r="J2031" s="6">
        <f>ROUND(9.08595,2)</f>
        <v>9.09</v>
      </c>
      <c r="K2031" s="5">
        <f>ROUND(85480.62,0)</f>
        <v>85481</v>
      </c>
      <c r="L2031" s="7">
        <f>ROUND(0.0000297081633380223,4)</f>
        <v>0</v>
      </c>
    </row>
    <row r="2032" spans="1:12">
      <c r="A2032" s="3" t="s">
        <v>4177</v>
      </c>
      <c r="B2032" s="4" t="s">
        <v>4178</v>
      </c>
      <c r="C2032" s="4" t="s">
        <v>400</v>
      </c>
      <c r="D2032" s="4" t="s">
        <v>552</v>
      </c>
      <c r="E2032" s="4" t="s">
        <v>553</v>
      </c>
      <c r="F2032" s="4" t="s">
        <v>26</v>
      </c>
      <c r="G2032" s="4" t="s">
        <v>408</v>
      </c>
      <c r="H2032" s="5">
        <f>ROUND(8000,0)</f>
        <v>8000</v>
      </c>
      <c r="I2032" s="6">
        <f>ROUND(9.17,2)</f>
        <v>9.17</v>
      </c>
      <c r="J2032" s="6">
        <f>ROUND(1.15901246,2)</f>
        <v>1.1599999999999999</v>
      </c>
      <c r="K2032" s="5">
        <f>ROUND(85025.15,0)</f>
        <v>85025</v>
      </c>
      <c r="L2032" s="7">
        <f>ROUND(0.0000295498680758264,4)</f>
        <v>0</v>
      </c>
    </row>
    <row r="2033" spans="1:12">
      <c r="A2033" s="3" t="s">
        <v>4179</v>
      </c>
      <c r="B2033" s="4" t="s">
        <v>4180</v>
      </c>
      <c r="C2033" s="4" t="s">
        <v>400</v>
      </c>
      <c r="D2033" s="4" t="s">
        <v>655</v>
      </c>
      <c r="E2033" s="4" t="s">
        <v>656</v>
      </c>
      <c r="F2033" s="4" t="s">
        <v>26</v>
      </c>
      <c r="G2033" s="4" t="s">
        <v>408</v>
      </c>
      <c r="H2033" s="5">
        <f>ROUND(17500,0)</f>
        <v>17500</v>
      </c>
      <c r="I2033" s="6">
        <f>ROUND(4.17,2)</f>
        <v>4.17</v>
      </c>
      <c r="J2033" s="6">
        <f>ROUND(1.15901246,2)</f>
        <v>1.1599999999999999</v>
      </c>
      <c r="K2033" s="5">
        <f>ROUND(84578.93,0)</f>
        <v>84579</v>
      </c>
      <c r="L2033" s="7">
        <f>ROUND(0.0000293947875833745,4)</f>
        <v>0</v>
      </c>
    </row>
    <row r="2034" spans="1:12">
      <c r="A2034" s="3" t="s">
        <v>4181</v>
      </c>
      <c r="B2034" s="4" t="s">
        <v>4182</v>
      </c>
      <c r="C2034" s="4" t="s">
        <v>422</v>
      </c>
      <c r="D2034" s="4" t="s">
        <v>739</v>
      </c>
      <c r="E2034" s="4" t="s">
        <v>740</v>
      </c>
      <c r="F2034" s="4" t="s">
        <v>741</v>
      </c>
      <c r="G2034" s="4" t="s">
        <v>408</v>
      </c>
      <c r="H2034" s="5">
        <f>ROUND(96,0)</f>
        <v>96</v>
      </c>
      <c r="I2034" s="6">
        <f>ROUND(113000,2)</f>
        <v>113000</v>
      </c>
      <c r="J2034" s="6">
        <f>ROUND(0.00759599,2)</f>
        <v>0.01</v>
      </c>
      <c r="K2034" s="5">
        <f>ROUND(82401.3,0)</f>
        <v>82401</v>
      </c>
      <c r="L2034" s="7">
        <f>ROUND(0.000028637968227949,4)</f>
        <v>0</v>
      </c>
    </row>
    <row r="2035" spans="1:12">
      <c r="A2035" s="3" t="s">
        <v>2230</v>
      </c>
      <c r="B2035" s="4" t="s">
        <v>4183</v>
      </c>
      <c r="C2035" s="4" t="s">
        <v>400</v>
      </c>
      <c r="D2035" s="4" t="s">
        <v>739</v>
      </c>
      <c r="E2035" s="4" t="s">
        <v>740</v>
      </c>
      <c r="F2035" s="4" t="s">
        <v>741</v>
      </c>
      <c r="G2035" s="4" t="s">
        <v>408</v>
      </c>
      <c r="H2035" s="5">
        <f>ROUND(2555,0)</f>
        <v>2555</v>
      </c>
      <c r="I2035" s="6">
        <f>ROUND(4230,2)</f>
        <v>4230</v>
      </c>
      <c r="J2035" s="6">
        <f>ROUND(0.00759599,2)</f>
        <v>0.01</v>
      </c>
      <c r="K2035" s="5">
        <f>ROUND(82094.8,0)</f>
        <v>82095</v>
      </c>
      <c r="L2035" s="7">
        <f>ROUND(0.0000285314463980523,4)</f>
        <v>0</v>
      </c>
    </row>
    <row r="2036" spans="1:12">
      <c r="A2036" s="3" t="s">
        <v>4184</v>
      </c>
      <c r="B2036" s="4" t="s">
        <v>4185</v>
      </c>
      <c r="C2036" s="4" t="s">
        <v>400</v>
      </c>
      <c r="D2036" s="4" t="s">
        <v>717</v>
      </c>
      <c r="E2036" s="4" t="s">
        <v>718</v>
      </c>
      <c r="F2036" s="4" t="s">
        <v>175</v>
      </c>
      <c r="G2036" s="4" t="s">
        <v>408</v>
      </c>
      <c r="H2036" s="5">
        <f>ROUND(1201,0)</f>
        <v>1201</v>
      </c>
      <c r="I2036" s="6">
        <f>ROUND(11405,2)</f>
        <v>11405</v>
      </c>
      <c r="J2036" s="6">
        <f>ROUND(0.59923836,2)</f>
        <v>0.6</v>
      </c>
      <c r="K2036" s="5">
        <f>ROUND(82080.11,0)</f>
        <v>82080</v>
      </c>
      <c r="L2036" s="7">
        <f>ROUND(0.0000285263409961561,4)</f>
        <v>0</v>
      </c>
    </row>
    <row r="2037" spans="1:12">
      <c r="A2037" s="3" t="s">
        <v>4186</v>
      </c>
      <c r="B2037" s="4" t="s">
        <v>4187</v>
      </c>
      <c r="C2037" s="4" t="s">
        <v>400</v>
      </c>
      <c r="D2037" s="4" t="s">
        <v>717</v>
      </c>
      <c r="E2037" s="4" t="s">
        <v>718</v>
      </c>
      <c r="F2037" s="4" t="s">
        <v>175</v>
      </c>
      <c r="G2037" s="4" t="s">
        <v>408</v>
      </c>
      <c r="H2037" s="5">
        <f>ROUND(4539,0)</f>
        <v>4539</v>
      </c>
      <c r="I2037" s="6">
        <f>ROUND(2994,2)</f>
        <v>2994</v>
      </c>
      <c r="J2037" s="6">
        <f>ROUND(0.59923836,2)</f>
        <v>0.6</v>
      </c>
      <c r="K2037" s="5">
        <f>ROUND(81435.09,0)</f>
        <v>81435</v>
      </c>
      <c r="L2037" s="7">
        <f>ROUND(0.0000283021690199082,4)</f>
        <v>0</v>
      </c>
    </row>
    <row r="2038" spans="1:12">
      <c r="A2038" s="3" t="s">
        <v>4188</v>
      </c>
      <c r="B2038" s="4" t="s">
        <v>4189</v>
      </c>
      <c r="C2038" s="4" t="s">
        <v>415</v>
      </c>
      <c r="D2038" s="4" t="s">
        <v>456</v>
      </c>
      <c r="E2038" s="4" t="s">
        <v>457</v>
      </c>
      <c r="F2038" s="4" t="s">
        <v>21</v>
      </c>
      <c r="G2038" s="4" t="s">
        <v>408</v>
      </c>
      <c r="H2038" s="5">
        <f>ROUND(200,0)</f>
        <v>200</v>
      </c>
      <c r="I2038" s="6">
        <f>ROUND(44.75,2)</f>
        <v>44.75</v>
      </c>
      <c r="J2038" s="6">
        <f>ROUND(9.08595,2)</f>
        <v>9.09</v>
      </c>
      <c r="K2038" s="5">
        <f>ROUND(81319.25,0)</f>
        <v>81319</v>
      </c>
      <c r="L2038" s="7">
        <f>ROUND(0.0000282619096764328,4)</f>
        <v>0</v>
      </c>
    </row>
    <row r="2039" spans="1:12">
      <c r="A2039" s="3" t="s">
        <v>4190</v>
      </c>
      <c r="B2039" s="4" t="s">
        <v>4191</v>
      </c>
      <c r="C2039" s="4" t="s">
        <v>389</v>
      </c>
      <c r="D2039" s="4" t="s">
        <v>489</v>
      </c>
      <c r="E2039" s="4" t="s">
        <v>490</v>
      </c>
      <c r="F2039" s="4" t="s">
        <v>45</v>
      </c>
      <c r="G2039" s="4" t="s">
        <v>408</v>
      </c>
      <c r="H2039" s="5">
        <f>ROUND(800,0)</f>
        <v>800</v>
      </c>
      <c r="I2039" s="6">
        <f>ROUND(1195,2)</f>
        <v>1195</v>
      </c>
      <c r="J2039" s="6">
        <f>ROUND(8.407077,2)</f>
        <v>8.41</v>
      </c>
      <c r="K2039" s="5">
        <f>ROUND(80371.66,0)</f>
        <v>80372</v>
      </c>
      <c r="L2039" s="7">
        <f>ROUND(0.0000279325817130011,4)</f>
        <v>0</v>
      </c>
    </row>
    <row r="2040" spans="1:12">
      <c r="A2040" s="3" t="s">
        <v>4192</v>
      </c>
      <c r="B2040" s="4" t="s">
        <v>4193</v>
      </c>
      <c r="C2040" s="4" t="s">
        <v>545</v>
      </c>
      <c r="D2040" s="4" t="s">
        <v>1333</v>
      </c>
      <c r="E2040" s="4" t="s">
        <v>3</v>
      </c>
      <c r="F2040" s="4" t="s">
        <v>1334</v>
      </c>
      <c r="G2040" s="4" t="s">
        <v>408</v>
      </c>
      <c r="H2040" s="5">
        <f>ROUND(19200,0)</f>
        <v>19200</v>
      </c>
      <c r="I2040" s="6">
        <f>ROUND(6475,2)</f>
        <v>6475</v>
      </c>
      <c r="J2040" s="6">
        <f>ROUND(6.4008,2)</f>
        <v>6.4</v>
      </c>
      <c r="K2040" s="5">
        <f>ROUND(79574.75,0)</f>
        <v>79575</v>
      </c>
      <c r="L2040" s="7">
        <f>ROUND(0.0000276556214798429,4)</f>
        <v>0</v>
      </c>
    </row>
    <row r="2041" spans="1:12">
      <c r="A2041" s="3" t="s">
        <v>4194</v>
      </c>
      <c r="B2041" s="4" t="s">
        <v>4195</v>
      </c>
      <c r="C2041" s="4" t="s">
        <v>430</v>
      </c>
      <c r="D2041" s="4" t="s">
        <v>514</v>
      </c>
      <c r="E2041" s="4" t="s">
        <v>515</v>
      </c>
      <c r="F2041" s="4" t="s">
        <v>190</v>
      </c>
      <c r="G2041" s="4" t="s">
        <v>408</v>
      </c>
      <c r="H2041" s="5">
        <f>ROUND(3400,0)</f>
        <v>3400</v>
      </c>
      <c r="I2041" s="6">
        <f>ROUND(3.34,2)</f>
        <v>3.34</v>
      </c>
      <c r="J2041" s="6">
        <f>ROUND(6.86237833,2)</f>
        <v>6.86</v>
      </c>
      <c r="K2041" s="5">
        <f>ROUND(77929.17,0)</f>
        <v>77929</v>
      </c>
      <c r="L2041" s="7">
        <f>ROUND(0.0000270837122046671,4)</f>
        <v>0</v>
      </c>
    </row>
    <row r="2042" spans="1:12">
      <c r="A2042" s="3" t="s">
        <v>4196</v>
      </c>
      <c r="B2042" s="4" t="s">
        <v>4197</v>
      </c>
      <c r="C2042" s="4" t="s">
        <v>534</v>
      </c>
      <c r="D2042" s="4" t="s">
        <v>655</v>
      </c>
      <c r="E2042" s="4" t="s">
        <v>656</v>
      </c>
      <c r="F2042" s="4" t="s">
        <v>26</v>
      </c>
      <c r="G2042" s="4" t="s">
        <v>408</v>
      </c>
      <c r="H2042" s="5">
        <f>ROUND(10000,0)</f>
        <v>10000</v>
      </c>
      <c r="I2042" s="6">
        <f>ROUND(6.69,2)</f>
        <v>6.69</v>
      </c>
      <c r="J2042" s="6">
        <f>ROUND(1.15901246,2)</f>
        <v>1.1599999999999999</v>
      </c>
      <c r="K2042" s="5">
        <f>ROUND(77537.93,0)</f>
        <v>77538</v>
      </c>
      <c r="L2042" s="7">
        <f>ROUND(0.0000269477396084883,4)</f>
        <v>0</v>
      </c>
    </row>
    <row r="2043" spans="1:12">
      <c r="A2043" s="3" t="s">
        <v>4198</v>
      </c>
      <c r="B2043" s="4" t="s">
        <v>4199</v>
      </c>
      <c r="C2043" s="4" t="s">
        <v>389</v>
      </c>
      <c r="D2043" s="4" t="s">
        <v>407</v>
      </c>
      <c r="E2043" s="4" t="s">
        <v>35</v>
      </c>
      <c r="F2043" s="4" t="s">
        <v>21</v>
      </c>
      <c r="G2043" s="4" t="s">
        <v>408</v>
      </c>
      <c r="H2043" s="5">
        <f>ROUND(800,0)</f>
        <v>800</v>
      </c>
      <c r="I2043" s="6">
        <f>ROUND(10.64,2)</f>
        <v>10.64</v>
      </c>
      <c r="J2043" s="6">
        <f>ROUND(9.08595,2)</f>
        <v>9.09</v>
      </c>
      <c r="K2043" s="5">
        <f>ROUND(77339.61,0)</f>
        <v>77340</v>
      </c>
      <c r="L2043" s="7">
        <f>ROUND(0.0000268788149451764,4)</f>
        <v>0</v>
      </c>
    </row>
    <row r="2044" spans="1:12">
      <c r="A2044" s="3" t="s">
        <v>4200</v>
      </c>
      <c r="B2044" s="4" t="s">
        <v>4201</v>
      </c>
      <c r="C2044" s="4" t="s">
        <v>545</v>
      </c>
      <c r="D2044" s="4" t="s">
        <v>717</v>
      </c>
      <c r="E2044" s="4" t="s">
        <v>718</v>
      </c>
      <c r="F2044" s="4" t="s">
        <v>175</v>
      </c>
      <c r="G2044" s="4" t="s">
        <v>408</v>
      </c>
      <c r="H2044" s="5">
        <f>ROUND(3082,0)</f>
        <v>3082</v>
      </c>
      <c r="I2044" s="6">
        <f>ROUND(3755,2)</f>
        <v>3755</v>
      </c>
      <c r="J2044" s="6">
        <f>ROUND(0.59923836,2)</f>
        <v>0.6</v>
      </c>
      <c r="K2044" s="5">
        <f>ROUND(69349.32,0)</f>
        <v>69349</v>
      </c>
      <c r="L2044" s="7">
        <f>ROUND(0.000024101848184311,4)</f>
        <v>0</v>
      </c>
    </row>
    <row r="2045" spans="1:12">
      <c r="A2045" s="3" t="s">
        <v>4202</v>
      </c>
      <c r="B2045" s="4" t="s">
        <v>4203</v>
      </c>
      <c r="C2045" s="4" t="s">
        <v>400</v>
      </c>
      <c r="D2045" s="4" t="s">
        <v>514</v>
      </c>
      <c r="E2045" s="4" t="s">
        <v>515</v>
      </c>
      <c r="F2045" s="4" t="s">
        <v>190</v>
      </c>
      <c r="G2045" s="4" t="s">
        <v>408</v>
      </c>
      <c r="H2045" s="5">
        <f>ROUND(254,0)</f>
        <v>254</v>
      </c>
      <c r="I2045" s="6">
        <f>ROUND(37.62,2)</f>
        <v>37.619999999999997</v>
      </c>
      <c r="J2045" s="6">
        <f>ROUND(6.86237833,2)</f>
        <v>6.86</v>
      </c>
      <c r="K2045" s="5">
        <f>ROUND(65573.32,0)</f>
        <v>65573</v>
      </c>
      <c r="L2045" s="7">
        <f>ROUND(0.0000227895270433977,4)</f>
        <v>0</v>
      </c>
    </row>
    <row r="2046" spans="1:12">
      <c r="A2046" s="3" t="s">
        <v>4204</v>
      </c>
      <c r="B2046" s="4" t="s">
        <v>4205</v>
      </c>
      <c r="C2046" s="4" t="s">
        <v>400</v>
      </c>
      <c r="D2046" s="4" t="s">
        <v>2277</v>
      </c>
      <c r="E2046" s="4" t="s">
        <v>2278</v>
      </c>
      <c r="F2046" s="4" t="s">
        <v>38</v>
      </c>
      <c r="G2046" s="4" t="s">
        <v>408</v>
      </c>
      <c r="H2046" s="5">
        <f>ROUND(6020,0)</f>
        <v>6020</v>
      </c>
      <c r="I2046" s="6">
        <f>ROUND(6.56,2)</f>
        <v>6.56</v>
      </c>
      <c r="J2046" s="6">
        <f>ROUND(1.60912955,2)</f>
        <v>1.61</v>
      </c>
      <c r="K2046" s="5">
        <f>ROUND(63546.46,0)</f>
        <v>63546</v>
      </c>
      <c r="L2046" s="7">
        <f>ROUND(0.0000220851066970864,4)</f>
        <v>0</v>
      </c>
    </row>
    <row r="2047" spans="1:12">
      <c r="A2047" s="3" t="s">
        <v>4206</v>
      </c>
      <c r="B2047" s="4" t="s">
        <v>4207</v>
      </c>
      <c r="C2047" s="4" t="s">
        <v>400</v>
      </c>
      <c r="D2047" s="4" t="s">
        <v>2277</v>
      </c>
      <c r="E2047" s="4" t="s">
        <v>2278</v>
      </c>
      <c r="F2047" s="4" t="s">
        <v>38</v>
      </c>
      <c r="G2047" s="4" t="s">
        <v>408</v>
      </c>
      <c r="H2047" s="5">
        <f>ROUND(7350,0)</f>
        <v>7350</v>
      </c>
      <c r="I2047" s="6">
        <f>ROUND(5.18,2)</f>
        <v>5.18</v>
      </c>
      <c r="J2047" s="6">
        <f>ROUND(1.60912955,2)</f>
        <v>1.61</v>
      </c>
      <c r="K2047" s="5">
        <f>ROUND(61264.39,0)</f>
        <v>61264</v>
      </c>
      <c r="L2047" s="7">
        <f>ROUND(0.0000212919899846807,4)</f>
        <v>0</v>
      </c>
    </row>
    <row r="2048" spans="1:12">
      <c r="A2048" s="3" t="s">
        <v>4208</v>
      </c>
      <c r="B2048" s="4" t="s">
        <v>4209</v>
      </c>
      <c r="C2048" s="4" t="s">
        <v>430</v>
      </c>
      <c r="D2048" s="4" t="s">
        <v>569</v>
      </c>
      <c r="E2048" s="4" t="s">
        <v>570</v>
      </c>
      <c r="F2048" s="4" t="s">
        <v>19</v>
      </c>
      <c r="G2048" s="4" t="s">
        <v>408</v>
      </c>
      <c r="H2048" s="5">
        <f>ROUND(120,0)</f>
        <v>120</v>
      </c>
      <c r="I2048" s="6">
        <f>ROUND(384.2,2)</f>
        <v>384.2</v>
      </c>
      <c r="J2048" s="6">
        <f>ROUND(1.3267035,2)</f>
        <v>1.33</v>
      </c>
      <c r="K2048" s="5">
        <f>ROUND(61166.34,0)</f>
        <v>61166</v>
      </c>
      <c r="L2048" s="7">
        <f>ROUND(0.0000212579134253941,4)</f>
        <v>0</v>
      </c>
    </row>
    <row r="2049" spans="1:12">
      <c r="A2049" s="3" t="s">
        <v>4210</v>
      </c>
      <c r="B2049" s="4" t="s">
        <v>4211</v>
      </c>
      <c r="C2049" s="4" t="s">
        <v>389</v>
      </c>
      <c r="D2049" s="4" t="s">
        <v>2277</v>
      </c>
      <c r="E2049" s="4" t="s">
        <v>2278</v>
      </c>
      <c r="F2049" s="4" t="s">
        <v>38</v>
      </c>
      <c r="G2049" s="4" t="s">
        <v>408</v>
      </c>
      <c r="H2049" s="5">
        <f>ROUND(1873,0)</f>
        <v>1873</v>
      </c>
      <c r="I2049" s="6">
        <f>ROUND(20.28,2)</f>
        <v>20.28</v>
      </c>
      <c r="J2049" s="6">
        <f>ROUND(1.60912955,2)</f>
        <v>1.61</v>
      </c>
      <c r="K2049" s="5">
        <f>ROUND(61121.88,0)</f>
        <v>61122</v>
      </c>
      <c r="L2049" s="7">
        <f>ROUND(0.0000212424616780622,4)</f>
        <v>0</v>
      </c>
    </row>
    <row r="2050" spans="1:12">
      <c r="A2050" s="3" t="s">
        <v>4212</v>
      </c>
      <c r="B2050" s="4" t="s">
        <v>4213</v>
      </c>
      <c r="C2050" s="4" t="s">
        <v>389</v>
      </c>
      <c r="D2050" s="4" t="s">
        <v>1127</v>
      </c>
      <c r="E2050" s="4" t="s">
        <v>1128</v>
      </c>
      <c r="F2050" s="4" t="s">
        <v>21</v>
      </c>
      <c r="G2050" s="4" t="s">
        <v>408</v>
      </c>
      <c r="H2050" s="5">
        <f>ROUND(500,0)</f>
        <v>500</v>
      </c>
      <c r="I2050" s="6">
        <f>ROUND(13.4,2)</f>
        <v>13.4</v>
      </c>
      <c r="J2050" s="6">
        <f>ROUND(9.08595,2)</f>
        <v>9.09</v>
      </c>
      <c r="K2050" s="5">
        <f>ROUND(60875.87,0)</f>
        <v>60876</v>
      </c>
      <c r="L2050" s="7">
        <f>ROUND(0.0000211569627045781,4)</f>
        <v>0</v>
      </c>
    </row>
    <row r="2051" spans="1:12">
      <c r="A2051" s="3" t="s">
        <v>4214</v>
      </c>
      <c r="B2051" s="4" t="s">
        <v>4215</v>
      </c>
      <c r="C2051" s="4" t="s">
        <v>389</v>
      </c>
      <c r="D2051" s="4" t="s">
        <v>717</v>
      </c>
      <c r="E2051" s="4" t="s">
        <v>718</v>
      </c>
      <c r="F2051" s="4" t="s">
        <v>175</v>
      </c>
      <c r="G2051" s="4" t="s">
        <v>408</v>
      </c>
      <c r="H2051" s="5">
        <f>ROUND(1401,0)</f>
        <v>1401</v>
      </c>
      <c r="I2051" s="6">
        <f>ROUND(6882,2)</f>
        <v>6882</v>
      </c>
      <c r="J2051" s="6">
        <f>ROUND(0.59923836,2)</f>
        <v>0.6</v>
      </c>
      <c r="K2051" s="5">
        <f>ROUND(57776.66,0)</f>
        <v>57777</v>
      </c>
      <c r="L2051" s="7">
        <f>ROUND(0.0000200798549706984,4)</f>
        <v>0</v>
      </c>
    </row>
    <row r="2052" spans="1:12">
      <c r="A2052" s="3" t="s">
        <v>4216</v>
      </c>
      <c r="B2052" s="4" t="s">
        <v>4217</v>
      </c>
      <c r="C2052" s="4" t="s">
        <v>445</v>
      </c>
      <c r="D2052" s="4" t="s">
        <v>739</v>
      </c>
      <c r="E2052" s="4" t="s">
        <v>740</v>
      </c>
      <c r="F2052" s="4" t="s">
        <v>741</v>
      </c>
      <c r="G2052" s="4" t="s">
        <v>408</v>
      </c>
      <c r="H2052" s="5">
        <f>ROUND(113,0)</f>
        <v>113</v>
      </c>
      <c r="I2052" s="6">
        <f>ROUND(66300,2)</f>
        <v>66300</v>
      </c>
      <c r="J2052" s="6">
        <f>ROUND(0.00759599,2)</f>
        <v>0.01</v>
      </c>
      <c r="K2052" s="5">
        <f>ROUND(56908.4,0)</f>
        <v>56908</v>
      </c>
      <c r="L2052" s="7">
        <f>ROUND(0.0000197780975676768,4)</f>
        <v>0</v>
      </c>
    </row>
    <row r="2053" spans="1:12">
      <c r="A2053" s="3" t="s">
        <v>4218</v>
      </c>
      <c r="B2053" s="4" t="s">
        <v>4219</v>
      </c>
      <c r="C2053" s="4" t="s">
        <v>445</v>
      </c>
      <c r="D2053" s="4" t="s">
        <v>407</v>
      </c>
      <c r="E2053" s="4" t="s">
        <v>35</v>
      </c>
      <c r="F2053" s="4" t="s">
        <v>21</v>
      </c>
      <c r="G2053" s="4" t="s">
        <v>408</v>
      </c>
      <c r="H2053" s="5">
        <f>ROUND(520,0)</f>
        <v>520</v>
      </c>
      <c r="I2053" s="6">
        <f>ROUND(11.89,2)</f>
        <v>11.89</v>
      </c>
      <c r="J2053" s="6">
        <f>ROUND(9.08595,2)</f>
        <v>9.09</v>
      </c>
      <c r="K2053" s="5">
        <f>ROUND(56176.61,0)</f>
        <v>56177</v>
      </c>
      <c r="L2053" s="7">
        <f>ROUND(0.0000195237693135166,4)</f>
        <v>0</v>
      </c>
    </row>
    <row r="2054" spans="1:12">
      <c r="A2054" s="3" t="s">
        <v>4220</v>
      </c>
      <c r="B2054" s="4" t="s">
        <v>4221</v>
      </c>
      <c r="C2054" s="4" t="s">
        <v>400</v>
      </c>
      <c r="D2054" s="4" t="s">
        <v>1217</v>
      </c>
      <c r="E2054" s="4" t="s">
        <v>1218</v>
      </c>
      <c r="F2054" s="4" t="s">
        <v>26</v>
      </c>
      <c r="G2054" s="4" t="s">
        <v>408</v>
      </c>
      <c r="H2054" s="5">
        <f>ROUND(40000,0)</f>
        <v>40000</v>
      </c>
      <c r="I2054" s="6">
        <f>ROUND(1.14,2)</f>
        <v>1.1399999999999999</v>
      </c>
      <c r="J2054" s="6">
        <f>ROUND(1.15901246,2)</f>
        <v>1.1599999999999999</v>
      </c>
      <c r="K2054" s="5">
        <f>ROUND(52850.97,0)</f>
        <v>52851</v>
      </c>
      <c r="L2054" s="7">
        <f>ROUND(0.0000183679674917299,4)</f>
        <v>0</v>
      </c>
    </row>
    <row r="2055" spans="1:12">
      <c r="A2055" s="3" t="s">
        <v>4222</v>
      </c>
      <c r="B2055" s="4" t="s">
        <v>4223</v>
      </c>
      <c r="C2055" s="4" t="s">
        <v>545</v>
      </c>
      <c r="D2055" s="4" t="s">
        <v>407</v>
      </c>
      <c r="E2055" s="4" t="s">
        <v>35</v>
      </c>
      <c r="F2055" s="4" t="s">
        <v>21</v>
      </c>
      <c r="G2055" s="4" t="s">
        <v>408</v>
      </c>
      <c r="H2055" s="5">
        <f>ROUND(748,0)</f>
        <v>748</v>
      </c>
      <c r="I2055" s="6">
        <f>ROUND(6.69,2)</f>
        <v>6.69</v>
      </c>
      <c r="J2055" s="6">
        <f>ROUND(9.08595,2)</f>
        <v>9.09</v>
      </c>
      <c r="K2055" s="5">
        <f>ROUND(45467.18,0)</f>
        <v>45467</v>
      </c>
      <c r="L2055" s="7">
        <f>ROUND(0.0000158017853632702,4)</f>
        <v>0</v>
      </c>
    </row>
    <row r="2056" spans="1:12">
      <c r="A2056" s="3" t="s">
        <v>4224</v>
      </c>
      <c r="B2056" s="4" t="s">
        <v>4225</v>
      </c>
      <c r="C2056" s="4" t="s">
        <v>400</v>
      </c>
      <c r="D2056" s="4" t="s">
        <v>489</v>
      </c>
      <c r="E2056" s="4" t="s">
        <v>490</v>
      </c>
      <c r="F2056" s="4" t="s">
        <v>45</v>
      </c>
      <c r="G2056" s="4" t="s">
        <v>408</v>
      </c>
      <c r="H2056" s="5">
        <f>ROUND(200,0)</f>
        <v>200</v>
      </c>
      <c r="I2056" s="6">
        <f>ROUND(2702,2)</f>
        <v>2702</v>
      </c>
      <c r="J2056" s="6">
        <f>ROUND(8.407077,2)</f>
        <v>8.41</v>
      </c>
      <c r="K2056" s="5">
        <f>ROUND(45431.84,0)</f>
        <v>45432</v>
      </c>
      <c r="L2056" s="7">
        <f>ROUND(0.0000157895032051346,4)</f>
        <v>0</v>
      </c>
    </row>
    <row r="2057" spans="1:12">
      <c r="A2057" s="3" t="s">
        <v>4226</v>
      </c>
      <c r="B2057" s="4" t="s">
        <v>4227</v>
      </c>
      <c r="C2057" s="4" t="s">
        <v>534</v>
      </c>
      <c r="D2057" s="4" t="s">
        <v>717</v>
      </c>
      <c r="E2057" s="4" t="s">
        <v>718</v>
      </c>
      <c r="F2057" s="4" t="s">
        <v>175</v>
      </c>
      <c r="G2057" s="4" t="s">
        <v>408</v>
      </c>
      <c r="H2057" s="5">
        <f>ROUND(1401,0)</f>
        <v>1401</v>
      </c>
      <c r="I2057" s="6">
        <f>ROUND(5217,2)</f>
        <v>5217</v>
      </c>
      <c r="J2057" s="6">
        <f>ROUND(0.59923836,2)</f>
        <v>0.6</v>
      </c>
      <c r="K2057" s="5">
        <f>ROUND(43798.43,0)</f>
        <v>43798</v>
      </c>
      <c r="L2057" s="7">
        <f>ROUND(0.0000152218235243139,4)</f>
        <v>0</v>
      </c>
    </row>
    <row r="2058" spans="1:12">
      <c r="A2058" s="3" t="s">
        <v>4228</v>
      </c>
      <c r="B2058" s="4" t="s">
        <v>4229</v>
      </c>
      <c r="C2058" s="4" t="s">
        <v>389</v>
      </c>
      <c r="D2058" s="4" t="s">
        <v>1217</v>
      </c>
      <c r="E2058" s="4" t="s">
        <v>1218</v>
      </c>
      <c r="F2058" s="4" t="s">
        <v>26</v>
      </c>
      <c r="G2058" s="4" t="s">
        <v>408</v>
      </c>
      <c r="H2058" s="5">
        <f>ROUND(40000,0)</f>
        <v>40000</v>
      </c>
      <c r="I2058" s="6">
        <f>ROUND(0.89,2)</f>
        <v>0.89</v>
      </c>
      <c r="J2058" s="6">
        <f>ROUND(1.15901246,2)</f>
        <v>1.1599999999999999</v>
      </c>
      <c r="K2058" s="5">
        <f>ROUND(41260.84,0)</f>
        <v>41261</v>
      </c>
      <c r="L2058" s="7">
        <f>ROUND(0.0000143399027075845,4)</f>
        <v>0</v>
      </c>
    </row>
    <row r="2059" spans="1:12">
      <c r="A2059" s="3" t="s">
        <v>4230</v>
      </c>
      <c r="B2059" s="4" t="s">
        <v>4231</v>
      </c>
      <c r="C2059" s="4" t="s">
        <v>406</v>
      </c>
      <c r="D2059" s="4" t="s">
        <v>456</v>
      </c>
      <c r="E2059" s="4" t="s">
        <v>457</v>
      </c>
      <c r="F2059" s="4" t="s">
        <v>26</v>
      </c>
      <c r="G2059" s="4" t="s">
        <v>408</v>
      </c>
      <c r="H2059" s="5">
        <f>ROUND(112000,0)</f>
        <v>112000</v>
      </c>
      <c r="I2059" s="6">
        <f>ROUND(0.315,2)</f>
        <v>0.32</v>
      </c>
      <c r="J2059" s="6">
        <f>ROUND(1.15901246,2)</f>
        <v>1.1599999999999999</v>
      </c>
      <c r="K2059" s="5">
        <f>ROUND(40889.96,0)</f>
        <v>40890</v>
      </c>
      <c r="L2059" s="7">
        <f>ROUND(0.0000142110060802694,4)</f>
        <v>0</v>
      </c>
    </row>
    <row r="2060" spans="1:12">
      <c r="A2060" s="3" t="s">
        <v>4232</v>
      </c>
      <c r="B2060" s="4" t="s">
        <v>4233</v>
      </c>
      <c r="C2060" s="4" t="s">
        <v>400</v>
      </c>
      <c r="D2060" s="4" t="s">
        <v>514</v>
      </c>
      <c r="E2060" s="4" t="s">
        <v>515</v>
      </c>
      <c r="F2060" s="4" t="s">
        <v>190</v>
      </c>
      <c r="G2060" s="4" t="s">
        <v>408</v>
      </c>
      <c r="H2060" s="5">
        <f>ROUND(66,0)</f>
        <v>66</v>
      </c>
      <c r="I2060" s="6">
        <f>ROUND(82.13,2)</f>
        <v>82.13</v>
      </c>
      <c r="J2060" s="6">
        <f>ROUND(6.86237833,2)</f>
        <v>6.86</v>
      </c>
      <c r="K2060" s="5">
        <f>ROUND(37198.07,0)</f>
        <v>37198</v>
      </c>
      <c r="L2060" s="7">
        <f>ROUND(0.0000129279167537529,4)</f>
        <v>0</v>
      </c>
    </row>
    <row r="2061" spans="1:12">
      <c r="A2061" s="3" t="s">
        <v>4234</v>
      </c>
      <c r="B2061" s="4" t="s">
        <v>4235</v>
      </c>
      <c r="C2061" s="4" t="s">
        <v>445</v>
      </c>
      <c r="D2061" s="4" t="s">
        <v>739</v>
      </c>
      <c r="E2061" s="4" t="s">
        <v>740</v>
      </c>
      <c r="F2061" s="4" t="s">
        <v>741</v>
      </c>
      <c r="G2061" s="4" t="s">
        <v>408</v>
      </c>
      <c r="H2061" s="5">
        <f>ROUND(586,0)</f>
        <v>586</v>
      </c>
      <c r="I2061" s="6">
        <f>ROUND(8140,2)</f>
        <v>8140</v>
      </c>
      <c r="J2061" s="6">
        <f>ROUND(0.00759599,2)</f>
        <v>0.01</v>
      </c>
      <c r="K2061" s="5">
        <f>ROUND(36233.18,0)</f>
        <v>36233</v>
      </c>
      <c r="L2061" s="7">
        <f>ROUND(0.0000125925763020432,4)</f>
        <v>0</v>
      </c>
    </row>
    <row r="2062" spans="1:12">
      <c r="A2062" s="3" t="s">
        <v>4236</v>
      </c>
      <c r="B2062" s="4" t="s">
        <v>4237</v>
      </c>
      <c r="C2062" s="4" t="s">
        <v>400</v>
      </c>
      <c r="D2062" s="4" t="s">
        <v>489</v>
      </c>
      <c r="E2062" s="4" t="s">
        <v>490</v>
      </c>
      <c r="F2062" s="4" t="s">
        <v>45</v>
      </c>
      <c r="G2062" s="4" t="s">
        <v>408</v>
      </c>
      <c r="H2062" s="5">
        <f>ROUND(600,0)</f>
        <v>600</v>
      </c>
      <c r="I2062" s="6">
        <f>ROUND(452,2)</f>
        <v>452</v>
      </c>
      <c r="J2062" s="6">
        <f>ROUND(8.407077,2)</f>
        <v>8.41</v>
      </c>
      <c r="K2062" s="5">
        <f>ROUND(22799.99,0)</f>
        <v>22800</v>
      </c>
      <c r="L2062" s="7">
        <f>ROUND(0.0000079239695152571,4)</f>
        <v>0</v>
      </c>
    </row>
    <row r="2063" spans="1:12">
      <c r="A2063" s="3" t="s">
        <v>4238</v>
      </c>
      <c r="B2063" s="4" t="s">
        <v>4239</v>
      </c>
      <c r="C2063" s="4" t="s">
        <v>400</v>
      </c>
      <c r="D2063" s="4" t="s">
        <v>789</v>
      </c>
      <c r="E2063" s="4" t="s">
        <v>790</v>
      </c>
      <c r="F2063" s="4" t="s">
        <v>791</v>
      </c>
      <c r="G2063" s="4" t="s">
        <v>408</v>
      </c>
      <c r="H2063" s="5">
        <f>ROUND(3870,0)</f>
        <v>3870</v>
      </c>
      <c r="I2063" s="6">
        <f>ROUND(41.4,2)</f>
        <v>41.4</v>
      </c>
      <c r="J2063" s="6">
        <f>ROUND(0.12820804,2)</f>
        <v>0.13</v>
      </c>
      <c r="K2063" s="5">
        <f>ROUND(20541.24,0)</f>
        <v>20541</v>
      </c>
      <c r="L2063" s="7">
        <f>ROUND(0.0000071389574980331,4)</f>
        <v>0</v>
      </c>
    </row>
    <row r="2064" spans="1:12">
      <c r="A2064" s="3" t="s">
        <v>1513</v>
      </c>
      <c r="B2064" s="4" t="s">
        <v>4240</v>
      </c>
      <c r="C2064" s="4" t="s">
        <v>400</v>
      </c>
      <c r="D2064" s="4" t="s">
        <v>1111</v>
      </c>
      <c r="E2064" s="4" t="s">
        <v>1112</v>
      </c>
      <c r="F2064" s="4" t="s">
        <v>18</v>
      </c>
      <c r="G2064" s="4" t="s">
        <v>408</v>
      </c>
      <c r="H2064" s="5">
        <f>ROUND(225,0)</f>
        <v>225</v>
      </c>
      <c r="I2064" s="6">
        <f>ROUND(6.502,2)</f>
        <v>6.5</v>
      </c>
      <c r="J2064" s="6">
        <f>ROUND(9.9055,2)</f>
        <v>9.91</v>
      </c>
      <c r="K2064" s="5">
        <f>ROUND(14491.25,0)</f>
        <v>14491</v>
      </c>
      <c r="L2064" s="7">
        <f>ROUND(5.03632778952839E-06,4)</f>
        <v>0</v>
      </c>
    </row>
    <row r="2065" spans="1:12">
      <c r="A2065" s="3" t="s">
        <v>4241</v>
      </c>
      <c r="B2065" s="4" t="s">
        <v>4242</v>
      </c>
      <c r="C2065" s="4" t="s">
        <v>422</v>
      </c>
      <c r="D2065" s="4" t="s">
        <v>717</v>
      </c>
      <c r="E2065" s="4" t="s">
        <v>718</v>
      </c>
      <c r="F2065" s="4" t="s">
        <v>175</v>
      </c>
      <c r="G2065" s="4" t="s">
        <v>408</v>
      </c>
      <c r="H2065" s="5">
        <f>ROUND(328,0)</f>
        <v>328</v>
      </c>
      <c r="I2065" s="6">
        <f>ROUND(6944,2)</f>
        <v>6944</v>
      </c>
      <c r="J2065" s="6">
        <f>ROUND(0.59923836,2)</f>
        <v>0.6</v>
      </c>
      <c r="K2065" s="5">
        <f>ROUND(13648.44,0)</f>
        <v>13648</v>
      </c>
      <c r="L2065" s="7">
        <f>ROUND(4.74341534758636E-06,4)</f>
        <v>0</v>
      </c>
    </row>
    <row r="2066" spans="1:12">
      <c r="A2066" s="3" t="s">
        <v>4243</v>
      </c>
      <c r="B2066" s="4" t="s">
        <v>4244</v>
      </c>
      <c r="C2066" s="4" t="s">
        <v>534</v>
      </c>
      <c r="D2066" s="4" t="s">
        <v>456</v>
      </c>
      <c r="E2066" s="4" t="s">
        <v>457</v>
      </c>
      <c r="F2066" s="4" t="s">
        <v>26</v>
      </c>
      <c r="G2066" s="4" t="s">
        <v>408</v>
      </c>
      <c r="H2066" s="5">
        <f>ROUND(45000,0)</f>
        <v>45000</v>
      </c>
      <c r="I2066" s="6">
        <f>ROUND(0.255,2)</f>
        <v>0.26</v>
      </c>
      <c r="J2066" s="6">
        <f>ROUND(1.15901246,2)</f>
        <v>1.1599999999999999</v>
      </c>
      <c r="K2066" s="5">
        <f>ROUND(13299.67,0)</f>
        <v>13300</v>
      </c>
      <c r="L2066" s="7">
        <f>ROUND(4.62220288881615E-06,4)</f>
        <v>0</v>
      </c>
    </row>
    <row r="2067" spans="1:12">
      <c r="A2067" s="3" t="s">
        <v>4245</v>
      </c>
      <c r="B2067" s="4" t="s">
        <v>4246</v>
      </c>
      <c r="C2067" s="4" t="s">
        <v>445</v>
      </c>
      <c r="D2067" s="4" t="s">
        <v>496</v>
      </c>
      <c r="E2067" s="4" t="s">
        <v>497</v>
      </c>
      <c r="F2067" s="4" t="s">
        <v>21</v>
      </c>
      <c r="G2067" s="4" t="s">
        <v>408</v>
      </c>
      <c r="H2067" s="5">
        <f>ROUND(600,0)</f>
        <v>600</v>
      </c>
      <c r="I2067" s="6">
        <f>ROUND(2.41,2)</f>
        <v>2.41</v>
      </c>
      <c r="J2067" s="6">
        <f>ROUND(9.08595,2)</f>
        <v>9.09</v>
      </c>
      <c r="K2067" s="5">
        <f>ROUND(13138.28,0)</f>
        <v>13138</v>
      </c>
      <c r="L2067" s="7">
        <f>ROUND(4.56611297649306E-06,4)</f>
        <v>0</v>
      </c>
    </row>
    <row r="2068" spans="1:12">
      <c r="A2068" s="3" t="s">
        <v>4247</v>
      </c>
      <c r="B2068" s="4" t="s">
        <v>4248</v>
      </c>
      <c r="C2068" s="4" t="s">
        <v>389</v>
      </c>
      <c r="D2068" s="4" t="s">
        <v>577</v>
      </c>
      <c r="E2068" s="4" t="s">
        <v>578</v>
      </c>
      <c r="F2068" s="4" t="s">
        <v>175</v>
      </c>
      <c r="G2068" s="4" t="s">
        <v>408</v>
      </c>
      <c r="H2068" s="5">
        <f>ROUND(18358,0)</f>
        <v>18358</v>
      </c>
      <c r="I2068" s="6">
        <f>ROUND(98,2)</f>
        <v>98</v>
      </c>
      <c r="J2068" s="6">
        <f>ROUND(0.59923836,2)</f>
        <v>0.6</v>
      </c>
      <c r="K2068" s="5">
        <f>ROUND(10780.8,0)</f>
        <v>10781</v>
      </c>
      <c r="L2068" s="7">
        <f>ROUND(3.74678807096335E-06,4)</f>
        <v>0</v>
      </c>
    </row>
    <row r="2069" spans="1:12">
      <c r="A2069" s="3" t="s">
        <v>4249</v>
      </c>
      <c r="B2069" s="4" t="s">
        <v>4250</v>
      </c>
      <c r="C2069" s="4" t="s">
        <v>415</v>
      </c>
      <c r="D2069" s="4" t="s">
        <v>1024</v>
      </c>
      <c r="E2069" s="4" t="s">
        <v>1025</v>
      </c>
      <c r="F2069" s="4" t="s">
        <v>1026</v>
      </c>
      <c r="G2069" s="4" t="s">
        <v>408</v>
      </c>
      <c r="H2069" s="5">
        <f>ROUND(48,0)</f>
        <v>48</v>
      </c>
      <c r="I2069" s="6">
        <f>ROUND(232.8,2)</f>
        <v>232.8</v>
      </c>
      <c r="J2069" s="6">
        <f>ROUND(0.92410673,2)</f>
        <v>0.92</v>
      </c>
      <c r="K2069" s="5">
        <f>ROUND(10326.34,0)</f>
        <v>10326</v>
      </c>
      <c r="L2069" s="7">
        <f>ROUND(3.58884382686922E-06,4)</f>
        <v>0</v>
      </c>
    </row>
    <row r="2070" spans="1:12">
      <c r="A2070" s="3" t="s">
        <v>4251</v>
      </c>
      <c r="B2070" s="4" t="s">
        <v>4252</v>
      </c>
      <c r="C2070" s="4" t="s">
        <v>389</v>
      </c>
      <c r="D2070" s="4" t="s">
        <v>407</v>
      </c>
      <c r="E2070" s="4" t="s">
        <v>35</v>
      </c>
      <c r="F2070" s="4" t="s">
        <v>21</v>
      </c>
      <c r="G2070" s="4" t="s">
        <v>408</v>
      </c>
      <c r="H2070" s="5">
        <f>ROUND(12,0)</f>
        <v>12</v>
      </c>
      <c r="I2070" s="6">
        <f>ROUND(44.37,2)</f>
        <v>44.37</v>
      </c>
      <c r="J2070" s="6">
        <f>ROUND(9.08595,2)</f>
        <v>9.09</v>
      </c>
      <c r="K2070" s="5">
        <f>ROUND(4837.72,0)</f>
        <v>4838</v>
      </c>
      <c r="L2070" s="7">
        <f>ROUND(0.0000016813141498461,4)</f>
        <v>0</v>
      </c>
    </row>
    <row r="2071" spans="1:12">
      <c r="A2071" s="3" t="s">
        <v>4253</v>
      </c>
      <c r="B2071" s="4" t="s">
        <v>4254</v>
      </c>
      <c r="C2071" s="4" t="s">
        <v>545</v>
      </c>
      <c r="D2071" s="4" t="s">
        <v>789</v>
      </c>
      <c r="E2071" s="4" t="s">
        <v>790</v>
      </c>
      <c r="F2071" s="4" t="s">
        <v>791</v>
      </c>
      <c r="G2071" s="4" t="s">
        <v>408</v>
      </c>
      <c r="H2071" s="5">
        <f>ROUND(846,0)</f>
        <v>846</v>
      </c>
      <c r="I2071" s="6">
        <f>ROUND(38.55,2)</f>
        <v>38.549999999999997</v>
      </c>
      <c r="J2071" s="6">
        <f>ROUND(0.12820804,2)</f>
        <v>0.13</v>
      </c>
      <c r="K2071" s="5">
        <f>ROUND(4181.29,0)</f>
        <v>4181</v>
      </c>
      <c r="L2071" s="7">
        <f>ROUND(1.45317671167616E-06,4)</f>
        <v>0</v>
      </c>
    </row>
    <row r="2072" spans="1:12">
      <c r="A2072" s="3" t="s">
        <v>4255</v>
      </c>
      <c r="B2072" s="4" t="s">
        <v>4256</v>
      </c>
      <c r="C2072" s="4" t="s">
        <v>406</v>
      </c>
      <c r="D2072" s="4" t="s">
        <v>390</v>
      </c>
      <c r="E2072" s="4" t="s">
        <v>391</v>
      </c>
      <c r="F2072" s="4" t="s">
        <v>72</v>
      </c>
      <c r="G2072" s="4" t="s">
        <v>408</v>
      </c>
      <c r="H2072" s="5">
        <f>ROUND(633,0)</f>
        <v>633</v>
      </c>
      <c r="I2072" s="6">
        <f>ROUND(0.935,2)</f>
        <v>0.94</v>
      </c>
      <c r="J2072" s="6">
        <f>ROUND(6.12812423,2)</f>
        <v>6.13</v>
      </c>
      <c r="K2072" s="5">
        <f>ROUND(3626.99,0)</f>
        <v>3627</v>
      </c>
      <c r="L2072" s="7">
        <f>ROUND(1.26053380690703E-06,4)</f>
        <v>0</v>
      </c>
    </row>
    <row r="2073" spans="1:12">
      <c r="A2073" s="3" t="s">
        <v>4257</v>
      </c>
      <c r="B2073" s="4" t="s">
        <v>4258</v>
      </c>
      <c r="C2073" s="4" t="s">
        <v>415</v>
      </c>
      <c r="D2073" s="4" t="s">
        <v>1024</v>
      </c>
      <c r="E2073" s="4" t="s">
        <v>1025</v>
      </c>
      <c r="F2073" s="4" t="s">
        <v>1026</v>
      </c>
      <c r="G2073" s="4" t="s">
        <v>408</v>
      </c>
      <c r="H2073" s="5">
        <f>ROUND(48,0)</f>
        <v>48</v>
      </c>
      <c r="I2073" s="6">
        <f>ROUND(81.58,2)</f>
        <v>81.58</v>
      </c>
      <c r="J2073" s="6">
        <f>ROUND(0.92410673,2)</f>
        <v>0.92</v>
      </c>
      <c r="K2073" s="5">
        <f>ROUND(3618.65,0)</f>
        <v>3619</v>
      </c>
      <c r="L2073" s="7">
        <f>ROUND(1.25763530099728E-06,4)</f>
        <v>0</v>
      </c>
    </row>
    <row r="2074" spans="1:12">
      <c r="A2074" s="3" t="s">
        <v>4259</v>
      </c>
      <c r="B2074" s="4" t="s">
        <v>4260</v>
      </c>
      <c r="C2074" s="4" t="s">
        <v>534</v>
      </c>
      <c r="D2074" s="4" t="s">
        <v>717</v>
      </c>
      <c r="E2074" s="4" t="s">
        <v>718</v>
      </c>
      <c r="F2074" s="4" t="s">
        <v>175</v>
      </c>
      <c r="G2074" s="4" t="s">
        <v>408</v>
      </c>
      <c r="H2074" s="5">
        <f>ROUND(789,0)</f>
        <v>789</v>
      </c>
      <c r="I2074" s="6">
        <f>ROUND(283,2)</f>
        <v>283</v>
      </c>
      <c r="J2074" s="6">
        <f>ROUND(0.59923836,2)</f>
        <v>0.6</v>
      </c>
      <c r="K2074" s="5">
        <f>ROUND(1338.02,0)</f>
        <v>1338</v>
      </c>
      <c r="L2074" s="7">
        <f>ROUND(4.65019050043632E-07,4)</f>
        <v>0</v>
      </c>
    </row>
    <row r="2075" spans="1:12">
      <c r="A2075" s="3" t="s">
        <v>4261</v>
      </c>
      <c r="B2075" s="4" t="s">
        <v>4262</v>
      </c>
      <c r="C2075" s="4" t="s">
        <v>415</v>
      </c>
      <c r="D2075" s="4" t="s">
        <v>552</v>
      </c>
      <c r="E2075" s="4" t="s">
        <v>553</v>
      </c>
      <c r="F2075" s="4" t="s">
        <v>26</v>
      </c>
      <c r="G2075" s="4" t="s">
        <v>408</v>
      </c>
      <c r="H2075" s="5">
        <f>ROUND(3211,0)</f>
        <v>3211</v>
      </c>
      <c r="I2075" s="6">
        <f>ROUND(0.075,2)</f>
        <v>0.08</v>
      </c>
      <c r="J2075" s="6">
        <f>ROUND(1.15901246,2)</f>
        <v>1.1599999999999999</v>
      </c>
      <c r="K2075" s="5">
        <f>ROUND(279.12,0)</f>
        <v>279</v>
      </c>
      <c r="L2075" s="7">
        <f>ROUND(9.70061114543718E-08,4)</f>
        <v>0</v>
      </c>
    </row>
    <row r="2076" spans="1:12">
      <c r="A2076" s="3" t="s">
        <v>4263</v>
      </c>
      <c r="B2076" s="4" t="s">
        <v>4264</v>
      </c>
      <c r="C2076" s="4" t="s">
        <v>4265</v>
      </c>
      <c r="D2076" s="4" t="s">
        <v>486</v>
      </c>
      <c r="E2076" s="4" t="s">
        <v>1229</v>
      </c>
      <c r="F2076" s="4" t="s">
        <v>279</v>
      </c>
      <c r="G2076" s="4" t="s">
        <v>4266</v>
      </c>
      <c r="H2076" s="5">
        <f>ROUND(7790253.12,0)</f>
        <v>7790253</v>
      </c>
      <c r="I2076" s="6">
        <f>ROUND(1,2)</f>
        <v>1</v>
      </c>
      <c r="J2076" s="6">
        <f>ROUND(1,2)</f>
        <v>1</v>
      </c>
      <c r="K2076" s="5">
        <f>ROUND(7790253.12,0)</f>
        <v>7790253</v>
      </c>
      <c r="L2076" s="7">
        <f>ROUND(0.0027082593047745,4)</f>
        <v>2.7000000000000001E-3</v>
      </c>
    </row>
    <row r="2077" spans="1:12">
      <c r="A2077" s="3" t="s">
        <v>4267</v>
      </c>
      <c r="B2077" s="4" t="s">
        <v>4268</v>
      </c>
      <c r="C2077" s="4" t="s">
        <v>4265</v>
      </c>
      <c r="D2077" s="4" t="s">
        <v>486</v>
      </c>
      <c r="E2077" s="4" t="s">
        <v>1229</v>
      </c>
      <c r="F2077" s="4" t="s">
        <v>19</v>
      </c>
      <c r="G2077" s="4" t="s">
        <v>4266</v>
      </c>
      <c r="H2077" s="5">
        <f>ROUND(2145194.62,0)</f>
        <v>2145195</v>
      </c>
      <c r="I2077" s="6">
        <f t="shared" ref="I2077:I2102" si="32">ROUND(1,2)</f>
        <v>1</v>
      </c>
      <c r="J2077" s="6">
        <f>ROUND(1.3267035,2)</f>
        <v>1.33</v>
      </c>
      <c r="K2077" s="5">
        <f>ROUND(2846037.21,0)</f>
        <v>2846037</v>
      </c>
      <c r="L2077" s="7">
        <f>ROUND(0.000988468187537242,4)</f>
        <v>1E-3</v>
      </c>
    </row>
    <row r="2078" spans="1:12">
      <c r="A2078" s="3" t="s">
        <v>4269</v>
      </c>
      <c r="B2078" s="4" t="s">
        <v>4270</v>
      </c>
      <c r="C2078" s="4" t="s">
        <v>4265</v>
      </c>
      <c r="D2078" s="4" t="s">
        <v>486</v>
      </c>
      <c r="E2078" s="4" t="s">
        <v>1229</v>
      </c>
      <c r="F2078" s="4" t="s">
        <v>21</v>
      </c>
      <c r="G2078" s="4" t="s">
        <v>4266</v>
      </c>
      <c r="H2078" s="5">
        <f>ROUND(265847.99,0)</f>
        <v>265848</v>
      </c>
      <c r="I2078" s="6">
        <f t="shared" si="32"/>
        <v>1</v>
      </c>
      <c r="J2078" s="6">
        <f>ROUND(9.08595,2)</f>
        <v>9.09</v>
      </c>
      <c r="K2078" s="5">
        <f>ROUND(2415481.54,0)</f>
        <v>2415482</v>
      </c>
      <c r="L2078" s="7">
        <f>ROUND(0.000839846216157084,4)</f>
        <v>8.0000000000000004E-4</v>
      </c>
    </row>
    <row r="2079" spans="1:12">
      <c r="A2079" s="3" t="s">
        <v>4271</v>
      </c>
      <c r="B2079" s="4" t="s">
        <v>4272</v>
      </c>
      <c r="C2079" s="4" t="s">
        <v>4265</v>
      </c>
      <c r="D2079" s="4" t="s">
        <v>486</v>
      </c>
      <c r="E2079" s="4" t="s">
        <v>1229</v>
      </c>
      <c r="F2079" s="4" t="s">
        <v>45</v>
      </c>
      <c r="G2079" s="4" t="s">
        <v>4266</v>
      </c>
      <c r="H2079" s="5">
        <f>ROUND(22652844,0)</f>
        <v>22652844</v>
      </c>
      <c r="I2079" s="6">
        <f t="shared" si="32"/>
        <v>1</v>
      </c>
      <c r="J2079" s="6">
        <f>ROUND(8.407077,2)</f>
        <v>8.41</v>
      </c>
      <c r="K2079" s="5">
        <f>ROUND(1904442.04,0)</f>
        <v>1904442</v>
      </c>
      <c r="L2079" s="7">
        <f>ROUND(0.000661866640784353,4)</f>
        <v>6.9999999999999999E-4</v>
      </c>
    </row>
    <row r="2080" spans="1:12">
      <c r="A2080" s="3" t="s">
        <v>4273</v>
      </c>
      <c r="B2080" s="4" t="s">
        <v>4274</v>
      </c>
      <c r="C2080" s="4" t="s">
        <v>4265</v>
      </c>
      <c r="D2080" s="4" t="s">
        <v>486</v>
      </c>
      <c r="E2080" s="4" t="s">
        <v>1229</v>
      </c>
      <c r="F2080" s="4" t="s">
        <v>72</v>
      </c>
      <c r="G2080" s="4" t="s">
        <v>4266</v>
      </c>
      <c r="H2080" s="5">
        <f>ROUND(101272.08,0)</f>
        <v>101272</v>
      </c>
      <c r="I2080" s="6">
        <f t="shared" si="32"/>
        <v>1</v>
      </c>
      <c r="J2080" s="6">
        <f>ROUND(6.12812423,2)</f>
        <v>6.13</v>
      </c>
      <c r="K2080" s="5">
        <f>ROUND(620607.89,0)</f>
        <v>620608</v>
      </c>
      <c r="L2080" s="7">
        <f>ROUND(0.000215707511839809,4)</f>
        <v>2.0000000000000001E-4</v>
      </c>
    </row>
    <row r="2081" spans="1:12">
      <c r="A2081" s="3" t="s">
        <v>4275</v>
      </c>
      <c r="B2081" s="4" t="s">
        <v>4276</v>
      </c>
      <c r="C2081" s="4" t="s">
        <v>4265</v>
      </c>
      <c r="D2081" s="4" t="s">
        <v>486</v>
      </c>
      <c r="E2081" s="4" t="s">
        <v>1229</v>
      </c>
      <c r="F2081" s="4" t="s">
        <v>20</v>
      </c>
      <c r="G2081" s="4" t="s">
        <v>4266</v>
      </c>
      <c r="H2081" s="5">
        <f>ROUND(45774.55,0)</f>
        <v>45775</v>
      </c>
      <c r="I2081" s="6">
        <f t="shared" si="32"/>
        <v>1</v>
      </c>
      <c r="J2081" s="6">
        <f>ROUND(11.19645077,2)</f>
        <v>11.2</v>
      </c>
      <c r="K2081" s="5">
        <f>ROUND(512512.5,0)</f>
        <v>512513</v>
      </c>
      <c r="L2081" s="7">
        <f>ROUND(0.000178119965236309,4)</f>
        <v>2.0000000000000001E-4</v>
      </c>
    </row>
    <row r="2082" spans="1:12">
      <c r="A2082" s="3" t="s">
        <v>4277</v>
      </c>
      <c r="B2082" s="4" t="s">
        <v>4278</v>
      </c>
      <c r="C2082" s="4" t="s">
        <v>4265</v>
      </c>
      <c r="D2082" s="4" t="s">
        <v>486</v>
      </c>
      <c r="E2082" s="4" t="s">
        <v>1229</v>
      </c>
      <c r="F2082" s="4" t="s">
        <v>26</v>
      </c>
      <c r="G2082" s="4" t="s">
        <v>4266</v>
      </c>
      <c r="H2082" s="5">
        <f>ROUND(344091.6,0)</f>
        <v>344092</v>
      </c>
      <c r="I2082" s="6">
        <f t="shared" si="32"/>
        <v>1</v>
      </c>
      <c r="J2082" s="6">
        <f>ROUND(1.15901246,2)</f>
        <v>1.1599999999999999</v>
      </c>
      <c r="K2082" s="5">
        <f>ROUND(398806.45,0)</f>
        <v>398806</v>
      </c>
      <c r="L2082" s="7">
        <f>ROUND(0.000138668217101082,4)</f>
        <v>1E-4</v>
      </c>
    </row>
    <row r="2083" spans="1:12">
      <c r="A2083" s="3" t="s">
        <v>4279</v>
      </c>
      <c r="B2083" s="4" t="s">
        <v>4280</v>
      </c>
      <c r="C2083" s="4" t="s">
        <v>4265</v>
      </c>
      <c r="D2083" s="4" t="s">
        <v>486</v>
      </c>
      <c r="E2083" s="4" t="s">
        <v>1229</v>
      </c>
      <c r="F2083" s="4" t="s">
        <v>18</v>
      </c>
      <c r="G2083" s="4" t="s">
        <v>4266</v>
      </c>
      <c r="H2083" s="5">
        <f>ROUND(35273.09,0)</f>
        <v>35273</v>
      </c>
      <c r="I2083" s="6">
        <f t="shared" si="32"/>
        <v>1</v>
      </c>
      <c r="J2083" s="6">
        <f>ROUND(9.9055,2)</f>
        <v>9.91</v>
      </c>
      <c r="K2083" s="5">
        <f>ROUND(349397.59,0)</f>
        <v>349398</v>
      </c>
      <c r="L2083" s="7">
        <f>ROUND(0.000121366197747937,4)</f>
        <v>1E-4</v>
      </c>
    </row>
    <row r="2084" spans="1:12">
      <c r="A2084" s="3" t="s">
        <v>4281</v>
      </c>
      <c r="B2084" s="4" t="s">
        <v>4282</v>
      </c>
      <c r="C2084" s="4" t="s">
        <v>4265</v>
      </c>
      <c r="D2084" s="4" t="s">
        <v>486</v>
      </c>
      <c r="E2084" s="4" t="s">
        <v>1229</v>
      </c>
      <c r="F2084" s="4" t="s">
        <v>190</v>
      </c>
      <c r="G2084" s="4" t="s">
        <v>4266</v>
      </c>
      <c r="H2084" s="5">
        <f>ROUND(42084.12,0)</f>
        <v>42084</v>
      </c>
      <c r="I2084" s="6">
        <f t="shared" si="32"/>
        <v>1</v>
      </c>
      <c r="J2084" s="6">
        <f>ROUND(6.86237833,2)</f>
        <v>6.86</v>
      </c>
      <c r="K2084" s="5">
        <f>ROUND(288797.15,0)</f>
        <v>288797</v>
      </c>
      <c r="L2084" s="7">
        <f>ROUND(0.000100372385476725,4)</f>
        <v>1E-4</v>
      </c>
    </row>
    <row r="2085" spans="1:12">
      <c r="A2085" s="3" t="s">
        <v>4283</v>
      </c>
      <c r="B2085" s="4" t="s">
        <v>4284</v>
      </c>
      <c r="C2085" s="4" t="s">
        <v>4265</v>
      </c>
      <c r="D2085" s="4" t="s">
        <v>486</v>
      </c>
      <c r="E2085" s="4" t="s">
        <v>1229</v>
      </c>
      <c r="F2085" s="4" t="s">
        <v>1223</v>
      </c>
      <c r="G2085" s="4" t="s">
        <v>4266</v>
      </c>
      <c r="H2085" s="5">
        <f>ROUND(28425.35,0)</f>
        <v>28425</v>
      </c>
      <c r="I2085" s="6">
        <f t="shared" si="32"/>
        <v>1</v>
      </c>
      <c r="J2085" s="6">
        <f>ROUND(6.57015886,2)</f>
        <v>6.57</v>
      </c>
      <c r="K2085" s="5">
        <f>ROUND(186759.07,0)</f>
        <v>186759</v>
      </c>
      <c r="L2085" s="7">
        <f>ROUND(0.0000649067467739138,4)</f>
        <v>1E-4</v>
      </c>
    </row>
    <row r="2086" spans="1:12">
      <c r="A2086" s="3" t="s">
        <v>4285</v>
      </c>
      <c r="B2086" s="4" t="s">
        <v>4286</v>
      </c>
      <c r="C2086" s="4" t="s">
        <v>4265</v>
      </c>
      <c r="D2086" s="4" t="s">
        <v>486</v>
      </c>
      <c r="E2086" s="4" t="s">
        <v>1229</v>
      </c>
      <c r="F2086" s="4" t="s">
        <v>38</v>
      </c>
      <c r="G2086" s="4" t="s">
        <v>4266</v>
      </c>
      <c r="H2086" s="5">
        <f>ROUND(114964.1,0)</f>
        <v>114964</v>
      </c>
      <c r="I2086" s="6">
        <f t="shared" si="32"/>
        <v>1</v>
      </c>
      <c r="J2086" s="6">
        <f>ROUND(1.60912955,2)</f>
        <v>1.61</v>
      </c>
      <c r="K2086" s="5">
        <f>ROUND(184992.13,0)</f>
        <v>184992</v>
      </c>
      <c r="L2086" s="7">
        <f>ROUND(0.0000687809613666769,4)</f>
        <v>1E-4</v>
      </c>
    </row>
    <row r="2087" spans="1:12">
      <c r="A2087" s="3" t="s">
        <v>4287</v>
      </c>
      <c r="B2087" s="4" t="s">
        <v>4288</v>
      </c>
      <c r="C2087" s="4" t="s">
        <v>4265</v>
      </c>
      <c r="D2087" s="4" t="s">
        <v>486</v>
      </c>
      <c r="E2087" s="4" t="s">
        <v>1229</v>
      </c>
      <c r="F2087" s="4" t="s">
        <v>175</v>
      </c>
      <c r="G2087" s="4" t="s">
        <v>4266</v>
      </c>
      <c r="H2087" s="5">
        <f>ROUND(303269.04,0)</f>
        <v>303269</v>
      </c>
      <c r="I2087" s="6">
        <f t="shared" si="32"/>
        <v>1</v>
      </c>
      <c r="J2087" s="6">
        <f>ROUND(0.59923836,2)</f>
        <v>0.6</v>
      </c>
      <c r="K2087" s="5">
        <f>ROUND(181730.44,0)</f>
        <v>181730</v>
      </c>
      <c r="L2087" s="7">
        <f>ROUND(0.0000633644253660924,4)</f>
        <v>1E-4</v>
      </c>
    </row>
    <row r="2088" spans="1:12">
      <c r="A2088" s="3" t="s">
        <v>4289</v>
      </c>
      <c r="B2088" s="4" t="s">
        <v>4290</v>
      </c>
      <c r="C2088" s="4" t="s">
        <v>4265</v>
      </c>
      <c r="D2088" s="4" t="s">
        <v>486</v>
      </c>
      <c r="E2088" s="4" t="s">
        <v>1229</v>
      </c>
      <c r="F2088" s="4" t="s">
        <v>403</v>
      </c>
      <c r="G2088" s="4" t="s">
        <v>4266</v>
      </c>
      <c r="H2088" s="5">
        <f>ROUND(590242.31,0)</f>
        <v>590242</v>
      </c>
      <c r="I2088" s="6">
        <f t="shared" si="32"/>
        <v>1</v>
      </c>
      <c r="J2088" s="6">
        <f>ROUND(0.29286371,2)</f>
        <v>0.28999999999999998</v>
      </c>
      <c r="K2088" s="5">
        <f>ROUND(172860.55,0)</f>
        <v>172861</v>
      </c>
      <c r="L2088" s="7">
        <f>ROUND(0.0000600764179541559,4)</f>
        <v>1E-4</v>
      </c>
    </row>
    <row r="2089" spans="1:12">
      <c r="A2089" s="3" t="s">
        <v>4291</v>
      </c>
      <c r="B2089" s="4" t="s">
        <v>4292</v>
      </c>
      <c r="C2089" s="4" t="s">
        <v>4265</v>
      </c>
      <c r="D2089" s="4" t="s">
        <v>486</v>
      </c>
      <c r="E2089" s="4" t="s">
        <v>1229</v>
      </c>
      <c r="F2089" s="4" t="s">
        <v>397</v>
      </c>
      <c r="G2089" s="4" t="s">
        <v>4266</v>
      </c>
      <c r="H2089" s="5">
        <f>ROUND(69856.38,0)</f>
        <v>69856</v>
      </c>
      <c r="I2089" s="6">
        <f t="shared" si="32"/>
        <v>1</v>
      </c>
      <c r="J2089" s="6">
        <f>ROUND(2.18129969,2)</f>
        <v>2.1800000000000002</v>
      </c>
      <c r="K2089" s="5">
        <f>ROUND(152377.7,0)</f>
        <v>152378</v>
      </c>
      <c r="L2089" s="7">
        <f>ROUND(0.0000529577534729178,4)</f>
        <v>1E-4</v>
      </c>
    </row>
    <row r="2090" spans="1:12">
      <c r="A2090" s="3" t="s">
        <v>4293</v>
      </c>
      <c r="B2090" s="4" t="s">
        <v>4294</v>
      </c>
      <c r="C2090" s="4" t="s">
        <v>4265</v>
      </c>
      <c r="D2090" s="4" t="s">
        <v>486</v>
      </c>
      <c r="E2090" s="4" t="s">
        <v>1229</v>
      </c>
      <c r="F2090" s="4" t="s">
        <v>2065</v>
      </c>
      <c r="G2090" s="4" t="s">
        <v>4266</v>
      </c>
      <c r="H2090" s="5">
        <f>ROUND(3185600.37,0)</f>
        <v>3185600</v>
      </c>
      <c r="I2090" s="6">
        <f t="shared" si="32"/>
        <v>1</v>
      </c>
      <c r="J2090" s="6">
        <f>ROUND(0.02957175,2)</f>
        <v>0.03</v>
      </c>
      <c r="K2090" s="5">
        <f>ROUND(94203.78,0)</f>
        <v>94204</v>
      </c>
      <c r="L2090" s="7">
        <f>ROUND(0.000032739833699137,4)</f>
        <v>0</v>
      </c>
    </row>
    <row r="2091" spans="1:12">
      <c r="A2091" s="3" t="s">
        <v>4295</v>
      </c>
      <c r="B2091" s="4" t="s">
        <v>4296</v>
      </c>
      <c r="C2091" s="4" t="s">
        <v>4265</v>
      </c>
      <c r="D2091" s="4" t="s">
        <v>486</v>
      </c>
      <c r="E2091" s="4" t="s">
        <v>1229</v>
      </c>
      <c r="F2091" s="4" t="s">
        <v>16</v>
      </c>
      <c r="G2091" s="4" t="s">
        <v>4266</v>
      </c>
      <c r="H2091" s="5">
        <f>ROUND(9658.19,0)</f>
        <v>9658</v>
      </c>
      <c r="I2091" s="6">
        <f t="shared" si="32"/>
        <v>1</v>
      </c>
      <c r="J2091" s="6">
        <f>ROUND(9.11185723,2)</f>
        <v>9.11</v>
      </c>
      <c r="K2091" s="5">
        <f>ROUND(88004.05,0)</f>
        <v>88004</v>
      </c>
      <c r="L2091" s="7">
        <f>ROUND(0.0000305660029227989,4)</f>
        <v>0</v>
      </c>
    </row>
    <row r="2092" spans="1:12">
      <c r="A2092" s="3" t="s">
        <v>4297</v>
      </c>
      <c r="B2092" s="4" t="s">
        <v>4298</v>
      </c>
      <c r="C2092" s="4" t="s">
        <v>4265</v>
      </c>
      <c r="D2092" s="4" t="s">
        <v>486</v>
      </c>
      <c r="E2092" s="4" t="s">
        <v>1229</v>
      </c>
      <c r="F2092" s="4" t="s">
        <v>250</v>
      </c>
      <c r="G2092" s="4" t="s">
        <v>4266</v>
      </c>
      <c r="H2092" s="5">
        <f>ROUND(36876.96,0)</f>
        <v>36877</v>
      </c>
      <c r="I2092" s="6">
        <f t="shared" si="32"/>
        <v>1</v>
      </c>
      <c r="J2092" s="6">
        <f>ROUND(2.26631585,2)</f>
        <v>2.27</v>
      </c>
      <c r="K2092" s="5">
        <f>ROUND(83574.84,0)</f>
        <v>83575</v>
      </c>
      <c r="L2092" s="7">
        <f>ROUND(0.0000290458234588037,4)</f>
        <v>0</v>
      </c>
    </row>
    <row r="2093" spans="1:12">
      <c r="A2093" s="3" t="s">
        <v>4299</v>
      </c>
      <c r="B2093" s="4" t="s">
        <v>4300</v>
      </c>
      <c r="C2093" s="4" t="s">
        <v>4265</v>
      </c>
      <c r="D2093" s="4" t="s">
        <v>486</v>
      </c>
      <c r="E2093" s="4" t="s">
        <v>1229</v>
      </c>
      <c r="F2093" s="4" t="s">
        <v>1026</v>
      </c>
      <c r="G2093" s="4" t="s">
        <v>4266</v>
      </c>
      <c r="H2093" s="5">
        <f>ROUND(63763.68,0)</f>
        <v>63764</v>
      </c>
      <c r="I2093" s="6">
        <f t="shared" si="32"/>
        <v>1</v>
      </c>
      <c r="J2093" s="6">
        <f>ROUND(0.92410673,2)</f>
        <v>0.92</v>
      </c>
      <c r="K2093" s="5">
        <f>ROUND(58924.45,0)</f>
        <v>58924</v>
      </c>
      <c r="L2093" s="7">
        <f>ROUND(0.0000204581377953348,4)</f>
        <v>0</v>
      </c>
    </row>
    <row r="2094" spans="1:12">
      <c r="A2094" s="3" t="s">
        <v>4301</v>
      </c>
      <c r="B2094" s="4" t="s">
        <v>4302</v>
      </c>
      <c r="C2094" s="4" t="s">
        <v>4265</v>
      </c>
      <c r="D2094" s="4" t="s">
        <v>486</v>
      </c>
      <c r="E2094" s="4" t="s">
        <v>1229</v>
      </c>
      <c r="F2094" s="4" t="s">
        <v>1248</v>
      </c>
      <c r="G2094" s="4" t="s">
        <v>4266</v>
      </c>
      <c r="H2094" s="5">
        <f>ROUND(21629,0)</f>
        <v>21629</v>
      </c>
      <c r="I2094" s="6">
        <f t="shared" si="32"/>
        <v>1</v>
      </c>
      <c r="J2094" s="6">
        <f>ROUND(2.6140712,2)</f>
        <v>2.61</v>
      </c>
      <c r="K2094" s="5">
        <f>ROUND(56539.75,0)</f>
        <v>56540</v>
      </c>
      <c r="L2094" s="7">
        <f>ROUND(0.000019649975960527,4)</f>
        <v>0</v>
      </c>
    </row>
    <row r="2095" spans="1:12">
      <c r="A2095" s="3" t="s">
        <v>4303</v>
      </c>
      <c r="B2095" s="4" t="s">
        <v>4304</v>
      </c>
      <c r="C2095" s="4" t="s">
        <v>4265</v>
      </c>
      <c r="D2095" s="4" t="s">
        <v>486</v>
      </c>
      <c r="E2095" s="4" t="s">
        <v>1229</v>
      </c>
      <c r="F2095" s="4" t="s">
        <v>3629</v>
      </c>
      <c r="G2095" s="4" t="s">
        <v>4266</v>
      </c>
      <c r="H2095" s="5">
        <f>ROUND(114254.58,0)</f>
        <v>114255</v>
      </c>
      <c r="I2095" s="6">
        <f t="shared" si="32"/>
        <v>1</v>
      </c>
      <c r="J2095" s="6">
        <f>ROUND(0.38369616,2)</f>
        <v>0.38</v>
      </c>
      <c r="K2095" s="5">
        <f>ROUND(43839.04,0)</f>
        <v>43839</v>
      </c>
      <c r="L2095" s="7">
        <f>ROUND(0.0000152297996287058,4)</f>
        <v>0</v>
      </c>
    </row>
    <row r="2096" spans="1:12">
      <c r="A2096" s="3" t="s">
        <v>4305</v>
      </c>
      <c r="B2096" s="4" t="s">
        <v>4306</v>
      </c>
      <c r="C2096" s="4" t="s">
        <v>4265</v>
      </c>
      <c r="D2096" s="4" t="s">
        <v>486</v>
      </c>
      <c r="E2096" s="4" t="s">
        <v>1229</v>
      </c>
      <c r="F2096" s="4" t="s">
        <v>95</v>
      </c>
      <c r="G2096" s="4" t="s">
        <v>4266</v>
      </c>
      <c r="H2096" s="5">
        <f>ROUND(87857.45,0)</f>
        <v>87857</v>
      </c>
      <c r="I2096" s="6">
        <f t="shared" si="32"/>
        <v>1</v>
      </c>
      <c r="J2096" s="6">
        <f>ROUND(0.4601869,2)</f>
        <v>0.46</v>
      </c>
      <c r="K2096" s="5">
        <f>ROUND(40430.85,0)</f>
        <v>40431</v>
      </c>
      <c r="L2096" s="7">
        <f>ROUND(0.0000141041888390989,4)</f>
        <v>0</v>
      </c>
    </row>
    <row r="2097" spans="1:12">
      <c r="A2097" s="3" t="s">
        <v>4307</v>
      </c>
      <c r="B2097" s="4" t="s">
        <v>4308</v>
      </c>
      <c r="C2097" s="4" t="s">
        <v>4265</v>
      </c>
      <c r="D2097" s="4" t="s">
        <v>486</v>
      </c>
      <c r="E2097" s="4" t="s">
        <v>1229</v>
      </c>
      <c r="F2097" s="4" t="s">
        <v>1859</v>
      </c>
      <c r="G2097" s="4" t="s">
        <v>4266</v>
      </c>
      <c r="H2097" s="5">
        <f>ROUND(5881.23,0)</f>
        <v>5881</v>
      </c>
      <c r="I2097" s="6">
        <f t="shared" si="32"/>
        <v>1</v>
      </c>
      <c r="J2097" s="6">
        <f>ROUND(5.69723636,2)</f>
        <v>5.7</v>
      </c>
      <c r="K2097" s="5">
        <f>ROUND(33506.76,0)</f>
        <v>33507</v>
      </c>
      <c r="L2097" s="7">
        <f>ROUND(0.0000116503359786356,4)</f>
        <v>0</v>
      </c>
    </row>
    <row r="2098" spans="1:12">
      <c r="A2098" s="3" t="s">
        <v>4309</v>
      </c>
      <c r="B2098" s="4" t="s">
        <v>4310</v>
      </c>
      <c r="C2098" s="4" t="s">
        <v>4265</v>
      </c>
      <c r="D2098" s="4" t="s">
        <v>486</v>
      </c>
      <c r="E2098" s="4" t="s">
        <v>1229</v>
      </c>
      <c r="F2098" s="4" t="s">
        <v>1726</v>
      </c>
      <c r="G2098" s="4" t="s">
        <v>4266</v>
      </c>
      <c r="H2098" s="5">
        <f>ROUND(15386.19,0)</f>
        <v>15386</v>
      </c>
      <c r="I2098" s="6">
        <f t="shared" si="32"/>
        <v>1</v>
      </c>
      <c r="J2098" s="6">
        <f>ROUND(2.17002213,2)</f>
        <v>2.17</v>
      </c>
      <c r="K2098" s="5">
        <f>ROUND(33388.37,0)</f>
        <v>33388</v>
      </c>
      <c r="L2098" s="7">
        <f>ROUND(0.0000116038834246911,4)</f>
        <v>0</v>
      </c>
    </row>
    <row r="2099" spans="1:12">
      <c r="A2099" s="3" t="s">
        <v>4311</v>
      </c>
      <c r="B2099" s="4" t="s">
        <v>4312</v>
      </c>
      <c r="C2099" s="4" t="s">
        <v>4265</v>
      </c>
      <c r="D2099" s="4" t="s">
        <v>486</v>
      </c>
      <c r="E2099" s="4" t="s">
        <v>1229</v>
      </c>
      <c r="F2099" s="4" t="s">
        <v>741</v>
      </c>
      <c r="G2099" s="4" t="s">
        <v>4266</v>
      </c>
      <c r="H2099" s="5">
        <f>ROUND(2245934,0)</f>
        <v>2245934</v>
      </c>
      <c r="I2099" s="6">
        <f t="shared" si="32"/>
        <v>1</v>
      </c>
      <c r="J2099" s="6">
        <f>ROUND(0.00759599,2)</f>
        <v>0.01</v>
      </c>
      <c r="K2099" s="5">
        <f>ROUND(17060.09,0)</f>
        <v>17060</v>
      </c>
      <c r="L2099" s="7">
        <f>ROUND(5.92910931485244E-06,4)</f>
        <v>0</v>
      </c>
    </row>
    <row r="2100" spans="1:12">
      <c r="A2100" s="3" t="s">
        <v>4313</v>
      </c>
      <c r="B2100" s="4" t="s">
        <v>4314</v>
      </c>
      <c r="C2100" s="4" t="s">
        <v>4265</v>
      </c>
      <c r="D2100" s="4" t="s">
        <v>486</v>
      </c>
      <c r="E2100" s="4" t="s">
        <v>1229</v>
      </c>
      <c r="F2100" s="4" t="s">
        <v>1824</v>
      </c>
      <c r="G2100" s="4" t="s">
        <v>4266</v>
      </c>
      <c r="H2100" s="5">
        <f>ROUND(1781374.5,0)</f>
        <v>1781375</v>
      </c>
      <c r="I2100" s="6">
        <f t="shared" si="32"/>
        <v>1</v>
      </c>
      <c r="J2100" s="6">
        <f>ROUND(0.00261206,2)</f>
        <v>0</v>
      </c>
      <c r="K2100" s="5">
        <f>ROUND(4653.06,0)</f>
        <v>4653</v>
      </c>
      <c r="L2100" s="7">
        <f>ROUND(1.61713691947506E-06,4)</f>
        <v>0</v>
      </c>
    </row>
    <row r="2101" spans="1:12">
      <c r="A2101" s="3" t="s">
        <v>4315</v>
      </c>
      <c r="B2101" s="4" t="s">
        <v>4316</v>
      </c>
      <c r="C2101" s="4" t="s">
        <v>4265</v>
      </c>
      <c r="D2101" s="4" t="s">
        <v>486</v>
      </c>
      <c r="E2101" s="4" t="s">
        <v>1229</v>
      </c>
      <c r="F2101" s="4" t="s">
        <v>22</v>
      </c>
      <c r="G2101" s="4" t="s">
        <v>4266</v>
      </c>
      <c r="H2101" s="5">
        <f>ROUND(9328.2,0)</f>
        <v>9328</v>
      </c>
      <c r="I2101" s="6">
        <f t="shared" si="32"/>
        <v>1</v>
      </c>
      <c r="J2101" s="6">
        <f>ROUND(0.17530276,2)</f>
        <v>0.18</v>
      </c>
      <c r="K2101" s="5">
        <f>ROUND(1635.26,0)</f>
        <v>1635</v>
      </c>
      <c r="L2101" s="7">
        <f>ROUND(5.68322634769547E-07,4)</f>
        <v>0</v>
      </c>
    </row>
    <row r="2102" spans="1:12">
      <c r="A2102" s="3" t="s">
        <v>4317</v>
      </c>
      <c r="B2102" s="4" t="s">
        <v>4318</v>
      </c>
      <c r="C2102" s="4" t="s">
        <v>4265</v>
      </c>
      <c r="D2102" s="4" t="s">
        <v>486</v>
      </c>
      <c r="E2102" s="4" t="s">
        <v>1229</v>
      </c>
      <c r="F2102" s="4" t="s">
        <v>791</v>
      </c>
      <c r="G2102" s="4" t="s">
        <v>4266</v>
      </c>
      <c r="H2102" s="5">
        <f>ROUND(660.67,0)</f>
        <v>661</v>
      </c>
      <c r="I2102" s="6">
        <f t="shared" si="32"/>
        <v>1</v>
      </c>
      <c r="J2102" s="6">
        <f>ROUND(0.12820804,2)</f>
        <v>0.13</v>
      </c>
      <c r="K2102" s="5">
        <f>ROUND(84.7,0)</f>
        <v>85</v>
      </c>
      <c r="L2102" s="7">
        <f>ROUND(2.94368645750404E-08,4)</f>
        <v>0</v>
      </c>
    </row>
    <row r="2103" spans="1:12">
      <c r="A2103" s="8" t="s">
        <v>4319</v>
      </c>
      <c r="B2103" s="9"/>
      <c r="C2103" s="9"/>
      <c r="D2103" s="9"/>
      <c r="E2103" s="9"/>
      <c r="F2103" s="9"/>
      <c r="G2103" s="9"/>
      <c r="H2103" s="9"/>
      <c r="I2103" s="9"/>
      <c r="J2103" s="9"/>
      <c r="K2103" s="10">
        <f>SUM('Storebrand Indeks Alle Markeder'!$K$5:$K$2102)</f>
        <v>2877329423</v>
      </c>
      <c r="L2103" s="11">
        <f>SUM('Storebrand Indeks Alle Markeder'!$L$5:$L$2102)</f>
        <v>1.0036999999999732</v>
      </c>
    </row>
    <row r="2104" spans="1:12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</row>
  </sheetData>
  <mergeCells count="12">
    <mergeCell ref="H1:H3"/>
    <mergeCell ref="I1:I3"/>
    <mergeCell ref="J1:J3"/>
    <mergeCell ref="K1:K3"/>
    <mergeCell ref="L1:L3"/>
    <mergeCell ref="A1:C1"/>
    <mergeCell ref="D1:D3"/>
    <mergeCell ref="E1:E3"/>
    <mergeCell ref="F1:F3"/>
    <mergeCell ref="G1:G3"/>
    <mergeCell ref="A2:C2"/>
    <mergeCell ref="A3:C3"/>
  </mergeCells>
  <pageMargins left="0.25" right="0.25" top="0.9" bottom="0.95" header="0.25" footer="0.25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C29ABC7742CD4DB0B0B5D7EF256478" ma:contentTypeVersion="1" ma:contentTypeDescription="Opprett et nytt dokument." ma:contentTypeScope="" ma:versionID="67f7e182f3436fa8e059b8cf23101d1b">
  <xsd:schema xmlns:xsd="http://www.w3.org/2001/XMLSchema" xmlns:xs="http://www.w3.org/2001/XMLSchema" xmlns:p="http://schemas.microsoft.com/office/2006/metadata/properties" xmlns:ns2="8fd2f3b9-9047-4d8c-9e50-c2f34c3f650d" targetNamespace="http://schemas.microsoft.com/office/2006/metadata/properties" ma:root="true" ma:fieldsID="50536504d0cfb632a44e4bd14a803537" ns2:_="">
    <xsd:import namespace="8fd2f3b9-9047-4d8c-9e50-c2f34c3f650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2f3b9-9047-4d8c-9e50-c2f34c3f65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CEE805-EB00-4D1A-9356-554F6FC752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d2f3b9-9047-4d8c-9e50-c2f34c3f65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E118AD-86EF-4B48-90A4-5DD47209AB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812A38-BABD-43F6-A7F5-0A9C14C2AD0C}">
  <ds:schemaRefs>
    <ds:schemaRef ds:uri="http://www.w3.org/XML/1998/namespace"/>
    <ds:schemaRef ds:uri="http://schemas.microsoft.com/office/2006/metadata/properties"/>
    <ds:schemaRef ds:uri="8fd2f3b9-9047-4d8c-9e50-c2f34c3f650d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Storebrand Indeks Alle Markeder</vt:lpstr>
      <vt:lpstr>__bookmark_1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Waage, Ivar</dc:creator>
  <cp:lastModifiedBy>Waage, Ivar</cp:lastModifiedBy>
  <dcterms:created xsi:type="dcterms:W3CDTF">2019-10-03T12:03:25Z</dcterms:created>
  <dcterms:modified xsi:type="dcterms:W3CDTF">2019-10-29T09:29:48Z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0x010100D9C29ABC7742CD4DB0B0B5D7EF256478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_AdHocReviewCycleID">
    <vt:i4>1290786158</vt:i4>
  </property>
  <property fmtid="{D5CDD505-2E9C-101B-9397-08002B2CF9AE}" pid="6" name="_NewReviewCycle">
    <vt:lpwstr/>
  </property>
  <property fmtid="{D5CDD505-2E9C-101B-9397-08002B2CF9AE}" pid="7" name="_EmailSubject">
    <vt:lpwstr>Lister over investeringer</vt:lpwstr>
  </property>
  <property fmtid="{D5CDD505-2E9C-101B-9397-08002B2CF9AE}" pid="8" name="_AuthorEmail">
    <vt:lpwstr>Ivar.Waage@Storebrand.com</vt:lpwstr>
  </property>
  <property fmtid="{D5CDD505-2E9C-101B-9397-08002B2CF9AE}" pid="9" name="_AuthorEmailDisplayName">
    <vt:lpwstr>Waage, Ivar</vt:lpwstr>
  </property>
</Properties>
</file>